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13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Q:\RA\10372\CADD\R-2721A\Hydraulics\PERMITS_Environmental\Forms\"/>
    </mc:Choice>
  </mc:AlternateContent>
  <xr:revisionPtr revIDLastSave="0" documentId="13_ncr:1_{1B4C3FD0-3162-4862-9707-48F3ADBB5909}" xr6:coauthVersionLast="45" xr6:coauthVersionMax="45" xr10:uidLastSave="{00000000-0000-0000-0000-000000000000}"/>
  <bookViews>
    <workbookView xWindow="-120" yWindow="-120" windowWidth="25440" windowHeight="15390" tabRatio="745" xr2:uid="{00000000-000D-0000-FFFF-FFFF00000000}"/>
  </bookViews>
  <sheets>
    <sheet name="RIPARIAN BUFFER IMPACTS SUMMARY" sheetId="10" r:id="rId1"/>
    <sheet name="RIPARIAN BUFFER IMPACTS SUM (2)" sheetId="11" r:id="rId2"/>
    <sheet name="Wetlands In Buffers" sheetId="8" r:id="rId3"/>
    <sheet name="Wetlands In Buffers (2)" sheetId="12" r:id="rId4"/>
  </sheets>
  <definedNames>
    <definedName name="_xlnm.Print_Area" localSheetId="1">'RIPARIAN BUFFER IMPACTS SUM (2)'!$B$2:$Q$45</definedName>
    <definedName name="_xlnm.Print_Area" localSheetId="0">'RIPARIAN BUFFER IMPACTS SUMMARY'!$B$2:$Q$45</definedName>
    <definedName name="_xlnm.Print_Area" localSheetId="2">'Wetlands In Buffers'!$A$1:$Q$38</definedName>
    <definedName name="_xlnm.Print_Area" localSheetId="3">'Wetlands In Buffers (2)'!$A$1:$Q$38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33" i="12" l="1"/>
  <c r="K33" i="8"/>
  <c r="E12" i="8" l="1"/>
  <c r="C23" i="8" l="1"/>
  <c r="E23" i="8"/>
  <c r="F23" i="8"/>
  <c r="C24" i="8"/>
  <c r="C25" i="8"/>
  <c r="E6" i="12"/>
  <c r="L41" i="11" l="1"/>
  <c r="C7" i="8" l="1"/>
  <c r="C8" i="8"/>
  <c r="C9" i="8"/>
  <c r="C11" i="8"/>
  <c r="C14" i="8"/>
  <c r="C15" i="8"/>
  <c r="C16" i="8"/>
  <c r="C17" i="8"/>
  <c r="C18" i="8"/>
  <c r="C19" i="8"/>
  <c r="C20" i="8"/>
  <c r="C21" i="8"/>
  <c r="C22" i="8"/>
  <c r="C6" i="8"/>
  <c r="N16" i="10" l="1"/>
  <c r="K17" i="10"/>
  <c r="N18" i="10"/>
  <c r="K19" i="10"/>
  <c r="N20" i="10"/>
  <c r="N22" i="10"/>
  <c r="N23" i="10"/>
  <c r="N24" i="10"/>
  <c r="N25" i="10"/>
  <c r="N26" i="10"/>
  <c r="N27" i="10"/>
  <c r="N28" i="10"/>
  <c r="N29" i="10"/>
  <c r="N30" i="10"/>
  <c r="L19" i="11"/>
  <c r="F16" i="8" l="1"/>
  <c r="E16" i="8"/>
  <c r="E15" i="8"/>
  <c r="F14" i="8"/>
  <c r="E14" i="8"/>
  <c r="E8" i="8" l="1"/>
  <c r="F8" i="8"/>
  <c r="F9" i="8"/>
  <c r="E17" i="8"/>
  <c r="F17" i="8"/>
  <c r="E18" i="8"/>
  <c r="F18" i="8"/>
  <c r="F21" i="8"/>
  <c r="L35" i="10" l="1"/>
  <c r="F6" i="8" l="1"/>
  <c r="N11" i="10" l="1"/>
  <c r="I35" i="10" l="1"/>
  <c r="J35" i="10"/>
  <c r="M35" i="10"/>
  <c r="E26" i="8" l="1"/>
  <c r="N31" i="11" l="1"/>
  <c r="E22" i="12" l="1"/>
  <c r="F26" i="8"/>
  <c r="K35" i="10" l="1"/>
  <c r="N12" i="10"/>
  <c r="N13" i="10"/>
  <c r="N15" i="10" l="1"/>
  <c r="N14" i="10"/>
  <c r="N35" i="10" l="1"/>
  <c r="N33" i="11" s="1"/>
  <c r="N35" i="11" s="1"/>
  <c r="F24" i="12"/>
  <c r="F22" i="12"/>
  <c r="E24" i="12"/>
  <c r="F26" i="12" l="1"/>
  <c r="E26" i="12"/>
  <c r="M31" i="11"/>
  <c r="L31" i="11"/>
  <c r="J31" i="11"/>
  <c r="I31" i="11"/>
  <c r="P31" i="11"/>
  <c r="O31" i="11"/>
  <c r="K34" i="11" l="1"/>
  <c r="K32" i="11"/>
  <c r="K30" i="11"/>
  <c r="K29" i="11"/>
  <c r="K28" i="11"/>
  <c r="K27" i="11"/>
  <c r="K26" i="11"/>
  <c r="K25" i="11"/>
  <c r="K24" i="11"/>
  <c r="K23" i="11"/>
  <c r="K31" i="11" l="1"/>
  <c r="M33" i="11"/>
  <c r="M35" i="11" s="1"/>
  <c r="P35" i="10" l="1"/>
  <c r="P33" i="11" s="1"/>
  <c r="P35" i="11" s="1"/>
  <c r="O35" i="10"/>
  <c r="O33" i="11" s="1"/>
  <c r="O35" i="11" s="1"/>
  <c r="L33" i="11"/>
  <c r="L35" i="11" s="1"/>
  <c r="K33" i="11"/>
  <c r="K35" i="11" s="1"/>
  <c r="J33" i="11"/>
  <c r="J35" i="11" s="1"/>
  <c r="I33" i="11"/>
  <c r="I35" i="11" s="1"/>
</calcChain>
</file>

<file path=xl/sharedStrings.xml><?xml version="1.0" encoding="utf-8"?>
<sst xmlns="http://schemas.openxmlformats.org/spreadsheetml/2006/main" count="242" uniqueCount="88">
  <si>
    <t>SITE NO.</t>
  </si>
  <si>
    <t>STATION    (FROM/TO)</t>
  </si>
  <si>
    <t>TOTAL:</t>
  </si>
  <si>
    <t>DIVISION OF HIGHWAYS</t>
  </si>
  <si>
    <t>BUFFER REPLACEMENT</t>
  </si>
  <si>
    <t>ROAD CROSSING</t>
  </si>
  <si>
    <t>PARALLEL IMPACT</t>
  </si>
  <si>
    <t>TYPE</t>
  </si>
  <si>
    <t>ALLOWABLE</t>
  </si>
  <si>
    <r>
      <t>ZONE 1              (ft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</si>
  <si>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r>
      <t>ZONE 2                       (ft</t>
    </r>
    <r>
      <rPr>
        <vertAlign val="superscript"/>
        <sz val="10"/>
        <rFont val="Arial"/>
        <family val="2"/>
      </rPr>
      <t>2</t>
    </r>
    <r>
      <rPr>
        <sz val="10"/>
        <rFont val="Arial"/>
        <family val="2"/>
      </rPr>
      <t>)</t>
    </r>
  </si>
  <si>
    <t>MITIGABLE</t>
  </si>
  <si>
    <t>BRIDGE</t>
  </si>
  <si>
    <t>WETLANDS IN BUFFER IMPACTS SUMMARY</t>
  </si>
  <si>
    <t>WETLANDS IN BUFFERS</t>
  </si>
  <si>
    <t>RIPARIAN BUFFER IMPACTS SUMMARY</t>
  </si>
  <si>
    <t>NC DEPARTMENT OF TRANSPORTATION</t>
  </si>
  <si>
    <t>OF</t>
  </si>
  <si>
    <t xml:space="preserve">SHEET            </t>
  </si>
  <si>
    <t xml:space="preserve">Revised 2018 Feb </t>
  </si>
  <si>
    <t>Site</t>
  </si>
  <si>
    <t>Station</t>
  </si>
  <si>
    <t>Structure</t>
  </si>
  <si>
    <t>No.</t>
  </si>
  <si>
    <t>(From/To)</t>
  </si>
  <si>
    <t>Size / Type</t>
  </si>
  <si>
    <t>TOTALS*:</t>
  </si>
  <si>
    <t>NOTES:</t>
  </si>
  <si>
    <t>IMPACTS</t>
  </si>
  <si>
    <r>
      <t>ZONE 1
(ft</t>
    </r>
    <r>
      <rPr>
        <vertAlign val="superscript"/>
        <sz val="18"/>
        <rFont val="Arial"/>
        <family val="2"/>
      </rPr>
      <t>2</t>
    </r>
    <r>
      <rPr>
        <sz val="18"/>
        <rFont val="Arial"/>
        <family val="2"/>
      </rPr>
      <t>)</t>
    </r>
  </si>
  <si>
    <r>
      <t>ZONE 2
(ft</t>
    </r>
    <r>
      <rPr>
        <vertAlign val="superscript"/>
        <sz val="18"/>
        <rFont val="Arial"/>
        <family val="2"/>
      </rPr>
      <t>2</t>
    </r>
    <r>
      <rPr>
        <sz val="18"/>
        <rFont val="Arial"/>
        <family val="2"/>
      </rPr>
      <t>)</t>
    </r>
  </si>
  <si>
    <r>
      <t>TOTAL
(ft</t>
    </r>
    <r>
      <rPr>
        <vertAlign val="superscript"/>
        <sz val="18"/>
        <rFont val="Arial"/>
        <family val="2"/>
      </rPr>
      <t>2</t>
    </r>
    <r>
      <rPr>
        <sz val="18"/>
        <rFont val="Arial"/>
        <family val="2"/>
      </rPr>
      <t>)</t>
    </r>
  </si>
  <si>
    <t xml:space="preserve">             </t>
  </si>
  <si>
    <t xml:space="preserve">SHEET    </t>
  </si>
  <si>
    <t>X</t>
  </si>
  <si>
    <t>ROADWAY FILL</t>
  </si>
  <si>
    <t>30" RCP</t>
  </si>
  <si>
    <t>1@6'x8' RCBC</t>
  </si>
  <si>
    <t>124+47 to 126+48 -L-</t>
  </si>
  <si>
    <t>147+44 to 149+51-L-RT</t>
  </si>
  <si>
    <t>2@9'x8' RCBC</t>
  </si>
  <si>
    <t>168+13 to 169+95-L-</t>
  </si>
  <si>
    <t>192+63 to 197+32-L-</t>
  </si>
  <si>
    <t>3@9'x8' RCBC</t>
  </si>
  <si>
    <t>201+74 to 206+80-L-</t>
  </si>
  <si>
    <t>42" RCP</t>
  </si>
  <si>
    <t>224+83 to 226+97-L-</t>
  </si>
  <si>
    <t>48" RCP</t>
  </si>
  <si>
    <t>4@12'x8' RCBC</t>
  </si>
  <si>
    <t>14+60 to 16+35 -Y3-</t>
  </si>
  <si>
    <t>2@7'x8' RCBC</t>
  </si>
  <si>
    <t>WAKE COUNTY</t>
  </si>
  <si>
    <t>R-2721</t>
  </si>
  <si>
    <t>6.401078</t>
  </si>
  <si>
    <t>TOTALS FROM THIS SHEET</t>
  </si>
  <si>
    <t>TOTAL FROM THIS SHEET</t>
  </si>
  <si>
    <t/>
  </si>
  <si>
    <t>140+32 to 142+97-L-</t>
  </si>
  <si>
    <t>146+80 to 148+37-L-</t>
  </si>
  <si>
    <t>19+36 to 22+13-Y5RPC-</t>
  </si>
  <si>
    <t>46+92 to 49+14 -Y5-LT</t>
  </si>
  <si>
    <t>209+01 to 211.28 -L-</t>
  </si>
  <si>
    <t>225+70 to 226+35-L-LT</t>
  </si>
  <si>
    <t>66+72 to 69+30 -Y5-</t>
  </si>
  <si>
    <t>15+10 to 16+77-Y5-</t>
  </si>
  <si>
    <t>TOTAL FROM SHEET 21</t>
  </si>
  <si>
    <t>TOTALS FROM SHEET 19</t>
  </si>
  <si>
    <t>69+01 to 69+70-Y5-LT</t>
  </si>
  <si>
    <t>15+80-Y5A- to 48+68-Y5-(SAB)</t>
  </si>
  <si>
    <t>48+68-Y5- to 202+41-L-(SAA)</t>
  </si>
  <si>
    <t>SITE</t>
  </si>
  <si>
    <t>REMOVED</t>
  </si>
  <si>
    <t>SITE REMOVED</t>
  </si>
  <si>
    <t>52+27 to 52+90-LREV-RT</t>
  </si>
  <si>
    <t>52+98 to 58+31 -LREV-LT</t>
  </si>
  <si>
    <t>Site 26 Removed as drainage was rerouted to avoid impacts at that location.</t>
  </si>
  <si>
    <t>Structure
Size/Type</t>
  </si>
  <si>
    <t>Site 22 wetland boundary was clipped by the extent of the survey.  Previous estimate left for zone 2  instead of 1,873 sf which was measure in file.</t>
  </si>
  <si>
    <t>59+05 to 60+25-LREV-</t>
  </si>
  <si>
    <t>65+01 to 84+43-LREV-</t>
  </si>
  <si>
    <t>69+55 to 71+59 -LREV-</t>
  </si>
  <si>
    <t>81+45 to 87+64-LREV-</t>
  </si>
  <si>
    <t>84+38 to 85+96 -LREV-LT</t>
  </si>
  <si>
    <t>36" RCP</t>
  </si>
  <si>
    <t>16A</t>
  </si>
  <si>
    <t>24+27 to 24+54 -Y5RPB-</t>
  </si>
  <si>
    <t>24" RCP-IV</t>
  </si>
  <si>
    <t>12/3/2019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</si>
</sst>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7" x14ac:knownFonts="1">
    <font>
      <sz val="10"/>
      <name val="Arial"/>
    </font>
    <font>
      <b/>
      <sz val="18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2"/>
      <name val="Arial"/>
      <family val="2"/>
    </font>
    <font>
      <vertAlign val="superscript"/>
      <sz val="10"/>
      <name val="Arial"/>
      <family val="2"/>
    </font>
    <font>
      <b/>
      <sz val="11"/>
      <color rgb="FFFA7D00"/>
      <name val="Calibri"/>
      <family val="2"/>
      <scheme val="minor"/>
    </font>
    <font>
      <sz val="10"/>
      <name val="Arial"/>
      <family val="2"/>
    </font>
    <font>
      <sz val="16"/>
      <name val="Bookman Old Style"/>
      <family val="1"/>
    </font>
    <font>
      <sz val="16"/>
      <name val="Arial"/>
      <family val="2"/>
    </font>
    <font>
      <sz val="14"/>
      <name val="Bookman Old Style"/>
      <family val="1"/>
    </font>
    <font>
      <sz val="11"/>
      <name val="Bookman Old Style"/>
      <family val="1"/>
    </font>
    <font>
      <sz val="10"/>
      <name val="Bookman Old Style"/>
      <family val="1"/>
    </font>
    <font>
      <sz val="18"/>
      <name val="Arial"/>
      <family val="2"/>
    </font>
    <font>
      <b/>
      <sz val="20"/>
      <name val="Arial"/>
      <family val="2"/>
    </font>
    <font>
      <sz val="18"/>
      <color theme="1"/>
      <name val="Arial"/>
      <family val="2"/>
    </font>
    <font>
      <b/>
      <sz val="18"/>
      <color theme="1"/>
      <name val="Arial"/>
      <family val="2"/>
    </font>
    <font>
      <sz val="28"/>
      <name val="Arial"/>
      <family val="2"/>
    </font>
    <font>
      <sz val="24"/>
      <name val="Arial"/>
      <family val="2"/>
    </font>
    <font>
      <sz val="22"/>
      <name val="Bookman Old Style"/>
      <family val="1"/>
    </font>
    <font>
      <sz val="48"/>
      <name val="Bookman Old Style"/>
      <family val="1"/>
    </font>
    <font>
      <sz val="26"/>
      <name val="Bookman Old Style"/>
      <family val="1"/>
    </font>
    <font>
      <vertAlign val="superscript"/>
      <sz val="18"/>
      <name val="Arial"/>
      <family val="2"/>
    </font>
    <font>
      <b/>
      <sz val="24"/>
      <name val="Arial"/>
      <family val="2"/>
    </font>
    <font>
      <b/>
      <sz val="14"/>
      <name val="Calibri"/>
      <family val="2"/>
      <scheme val="minor"/>
    </font>
    <font>
      <sz val="14"/>
      <color theme="1"/>
      <name val="Arial"/>
      <family val="2"/>
    </font>
    <font>
      <b/>
      <sz val="14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69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 style="thick">
        <color indexed="64"/>
      </left>
      <right/>
      <top style="medium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medium">
        <color indexed="64"/>
      </left>
      <right/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medium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ck">
        <color indexed="64"/>
      </bottom>
      <diagonal/>
    </border>
    <border>
      <left/>
      <right/>
      <top style="medium">
        <color indexed="64"/>
      </top>
      <bottom style="thick">
        <color indexed="64"/>
      </bottom>
      <diagonal/>
    </border>
    <border>
      <left/>
      <right style="thick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6" fillId="2" borderId="38" applyNumberFormat="0" applyAlignment="0" applyProtection="0"/>
    <xf numFmtId="0" fontId="7" fillId="0" borderId="0"/>
  </cellStyleXfs>
  <cellXfs count="215">
    <xf numFmtId="0" fontId="0" fillId="0" borderId="0" xfId="0"/>
    <xf numFmtId="0" fontId="0" fillId="0" borderId="1" xfId="0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Alignment="1">
      <alignment horizontal="center"/>
    </xf>
    <xf numFmtId="0" fontId="2" fillId="0" borderId="0" xfId="0" applyFont="1"/>
    <xf numFmtId="0" fontId="0" fillId="0" borderId="0" xfId="0" applyAlignment="1">
      <alignment horizontal="center" wrapText="1"/>
    </xf>
    <xf numFmtId="164" fontId="0" fillId="0" borderId="0" xfId="0" applyNumberFormat="1"/>
    <xf numFmtId="164" fontId="0" fillId="0" borderId="0" xfId="0" applyNumberFormat="1" applyAlignment="1">
      <alignment horizontal="center"/>
    </xf>
    <xf numFmtId="0" fontId="11" fillId="0" borderId="11" xfId="0" applyFont="1" applyBorder="1" applyAlignment="1" applyProtection="1">
      <alignment horizontal="center"/>
      <protection locked="0"/>
    </xf>
    <xf numFmtId="14" fontId="11" fillId="0" borderId="11" xfId="0" applyNumberFormat="1" applyFont="1" applyBorder="1" applyAlignment="1" applyProtection="1">
      <alignment horizontal="center"/>
      <protection locked="0"/>
    </xf>
    <xf numFmtId="14" fontId="11" fillId="0" borderId="32" xfId="0" applyNumberFormat="1" applyFont="1" applyBorder="1" applyAlignment="1" applyProtection="1">
      <alignment horizontal="center"/>
      <protection locked="0"/>
    </xf>
    <xf numFmtId="0" fontId="7" fillId="0" borderId="10" xfId="0" applyFont="1" applyBorder="1"/>
    <xf numFmtId="0" fontId="7" fillId="0" borderId="0" xfId="2" applyProtection="1">
      <protection locked="0"/>
    </xf>
    <xf numFmtId="0" fontId="7" fillId="0" borderId="0" xfId="2" applyAlignment="1" applyProtection="1">
      <alignment horizontal="center"/>
      <protection locked="0"/>
    </xf>
    <xf numFmtId="0" fontId="13" fillId="0" borderId="0" xfId="2" applyFont="1" applyProtection="1">
      <protection locked="0"/>
    </xf>
    <xf numFmtId="0" fontId="7" fillId="0" borderId="34" xfId="2" applyBorder="1" applyProtection="1">
      <protection locked="0"/>
    </xf>
    <xf numFmtId="0" fontId="7" fillId="0" borderId="35" xfId="2" applyBorder="1" applyProtection="1">
      <protection locked="0"/>
    </xf>
    <xf numFmtId="0" fontId="7" fillId="0" borderId="35" xfId="2" applyBorder="1" applyAlignment="1" applyProtection="1">
      <alignment horizontal="center"/>
      <protection locked="0"/>
    </xf>
    <xf numFmtId="0" fontId="7" fillId="0" borderId="39" xfId="2" applyBorder="1" applyProtection="1">
      <protection locked="0"/>
    </xf>
    <xf numFmtId="0" fontId="7" fillId="0" borderId="33" xfId="2" applyBorder="1" applyProtection="1">
      <protection locked="0"/>
    </xf>
    <xf numFmtId="0" fontId="7" fillId="0" borderId="40" xfId="2" applyBorder="1" applyProtection="1">
      <protection locked="0"/>
    </xf>
    <xf numFmtId="0" fontId="13" fillId="0" borderId="33" xfId="2" applyFont="1" applyBorder="1" applyProtection="1">
      <protection locked="0"/>
    </xf>
    <xf numFmtId="0" fontId="13" fillId="0" borderId="0" xfId="2" applyFont="1" applyAlignment="1" applyProtection="1">
      <alignment horizontal="center"/>
      <protection locked="0"/>
    </xf>
    <xf numFmtId="0" fontId="9" fillId="0" borderId="40" xfId="2" applyFont="1" applyBorder="1" applyProtection="1">
      <protection locked="0"/>
    </xf>
    <xf numFmtId="0" fontId="14" fillId="0" borderId="0" xfId="2" applyFont="1" applyProtection="1">
      <protection locked="0"/>
    </xf>
    <xf numFmtId="0" fontId="13" fillId="0" borderId="41" xfId="2" applyFont="1" applyBorder="1" applyProtection="1">
      <protection locked="0"/>
    </xf>
    <xf numFmtId="0" fontId="13" fillId="0" borderId="35" xfId="2" applyFont="1" applyBorder="1" applyAlignment="1" applyProtection="1">
      <alignment horizontal="center"/>
      <protection locked="0"/>
    </xf>
    <xf numFmtId="0" fontId="13" fillId="0" borderId="34" xfId="2" applyFont="1" applyBorder="1" applyAlignment="1" applyProtection="1">
      <alignment horizontal="center"/>
      <protection locked="0"/>
    </xf>
    <xf numFmtId="0" fontId="13" fillId="0" borderId="0" xfId="2" applyFont="1" applyAlignment="1" applyProtection="1">
      <alignment wrapText="1"/>
      <protection locked="0"/>
    </xf>
    <xf numFmtId="0" fontId="13" fillId="0" borderId="28" xfId="2" applyFont="1" applyBorder="1" applyAlignment="1" applyProtection="1">
      <alignment horizontal="center"/>
      <protection locked="0"/>
    </xf>
    <xf numFmtId="0" fontId="13" fillId="0" borderId="33" xfId="2" applyFont="1" applyBorder="1" applyAlignment="1" applyProtection="1">
      <alignment horizontal="center"/>
      <protection locked="0"/>
    </xf>
    <xf numFmtId="0" fontId="13" fillId="0" borderId="27" xfId="2" applyFont="1" applyBorder="1" applyProtection="1">
      <protection locked="0"/>
    </xf>
    <xf numFmtId="0" fontId="13" fillId="0" borderId="25" xfId="2" applyFont="1" applyBorder="1" applyAlignment="1" applyProtection="1">
      <alignment horizontal="center"/>
      <protection locked="0"/>
    </xf>
    <xf numFmtId="0" fontId="13" fillId="0" borderId="24" xfId="2" applyFont="1" applyBorder="1" applyAlignment="1" applyProtection="1">
      <alignment horizontal="center"/>
      <protection locked="0"/>
    </xf>
    <xf numFmtId="0" fontId="7" fillId="0" borderId="0" xfId="2" applyAlignment="1" applyProtection="1">
      <alignment horizontal="center" wrapText="1"/>
      <protection locked="0"/>
    </xf>
    <xf numFmtId="0" fontId="7" fillId="0" borderId="0" xfId="2" applyAlignment="1" applyProtection="1">
      <alignment vertical="center"/>
      <protection locked="0"/>
    </xf>
    <xf numFmtId="0" fontId="15" fillId="0" borderId="42" xfId="2" applyFont="1" applyBorder="1" applyAlignment="1" applyProtection="1">
      <alignment horizontal="center" vertical="center"/>
      <protection locked="0"/>
    </xf>
    <xf numFmtId="1" fontId="13" fillId="0" borderId="46" xfId="2" applyNumberFormat="1" applyFont="1" applyBorder="1" applyAlignment="1" applyProtection="1">
      <alignment horizontal="center"/>
      <protection locked="0"/>
    </xf>
    <xf numFmtId="0" fontId="15" fillId="0" borderId="47" xfId="2" applyFont="1" applyBorder="1" applyAlignment="1" applyProtection="1">
      <alignment horizontal="center" vertical="center"/>
      <protection locked="0"/>
    </xf>
    <xf numFmtId="1" fontId="13" fillId="0" borderId="45" xfId="2" applyNumberFormat="1" applyFont="1" applyBorder="1" applyAlignment="1" applyProtection="1">
      <alignment horizontal="center"/>
      <protection locked="0"/>
    </xf>
    <xf numFmtId="1" fontId="13" fillId="0" borderId="49" xfId="2" applyNumberFormat="1" applyFont="1" applyBorder="1" applyAlignment="1" applyProtection="1">
      <alignment horizontal="center"/>
      <protection locked="0"/>
    </xf>
    <xf numFmtId="1" fontId="16" fillId="2" borderId="4" xfId="1" applyNumberFormat="1" applyFont="1" applyBorder="1" applyAlignment="1">
      <alignment horizontal="center"/>
    </xf>
    <xf numFmtId="0" fontId="9" fillId="0" borderId="0" xfId="2" applyFont="1" applyProtection="1">
      <protection locked="0"/>
    </xf>
    <xf numFmtId="0" fontId="9" fillId="0" borderId="0" xfId="2" applyFont="1" applyAlignment="1" applyProtection="1">
      <alignment horizontal="center"/>
      <protection locked="0"/>
    </xf>
    <xf numFmtId="0" fontId="8" fillId="0" borderId="0" xfId="2" applyFont="1" applyAlignment="1" applyProtection="1">
      <alignment horizontal="center"/>
      <protection locked="0"/>
    </xf>
    <xf numFmtId="0" fontId="9" fillId="0" borderId="0" xfId="2" applyFont="1" applyAlignment="1" applyProtection="1">
      <alignment vertical="center"/>
      <protection locked="0"/>
    </xf>
    <xf numFmtId="0" fontId="7" fillId="0" borderId="24" xfId="2" applyBorder="1" applyProtection="1">
      <protection locked="0"/>
    </xf>
    <xf numFmtId="0" fontId="9" fillId="0" borderId="25" xfId="2" applyFont="1" applyBorder="1" applyProtection="1">
      <protection locked="0"/>
    </xf>
    <xf numFmtId="0" fontId="9" fillId="0" borderId="25" xfId="2" applyFont="1" applyBorder="1" applyAlignment="1" applyProtection="1">
      <alignment horizontal="center"/>
      <protection locked="0"/>
    </xf>
    <xf numFmtId="0" fontId="9" fillId="0" borderId="26" xfId="2" applyFont="1" applyBorder="1" applyProtection="1">
      <protection locked="0"/>
    </xf>
    <xf numFmtId="0" fontId="8" fillId="0" borderId="25" xfId="2" applyFont="1" applyBorder="1" applyProtection="1">
      <protection locked="0"/>
    </xf>
    <xf numFmtId="14" fontId="8" fillId="0" borderId="25" xfId="2" applyNumberFormat="1" applyFont="1" applyBorder="1" applyAlignment="1" applyProtection="1">
      <alignment horizontal="center"/>
      <protection locked="0"/>
    </xf>
    <xf numFmtId="14" fontId="8" fillId="0" borderId="26" xfId="2" applyNumberFormat="1" applyFont="1" applyBorder="1" applyAlignment="1" applyProtection="1">
      <alignment horizontal="center"/>
      <protection locked="0"/>
    </xf>
    <xf numFmtId="0" fontId="17" fillId="0" borderId="0" xfId="2" applyFont="1" applyAlignment="1" applyProtection="1">
      <alignment horizontal="left"/>
      <protection locked="0"/>
    </xf>
    <xf numFmtId="0" fontId="18" fillId="0" borderId="0" xfId="2" applyFont="1" applyProtection="1">
      <protection locked="0"/>
    </xf>
    <xf numFmtId="0" fontId="19" fillId="0" borderId="0" xfId="2" applyFont="1" applyAlignment="1" applyProtection="1">
      <alignment horizontal="center"/>
      <protection locked="0"/>
    </xf>
    <xf numFmtId="0" fontId="20" fillId="0" borderId="0" xfId="2" applyFont="1" applyAlignment="1" applyProtection="1">
      <alignment horizontal="center"/>
      <protection locked="0"/>
    </xf>
    <xf numFmtId="0" fontId="21" fillId="0" borderId="0" xfId="2" applyFont="1" applyAlignment="1" applyProtection="1">
      <alignment horizontal="center"/>
      <protection locked="0"/>
    </xf>
    <xf numFmtId="0" fontId="10" fillId="0" borderId="0" xfId="2" applyFont="1" applyAlignment="1" applyProtection="1">
      <alignment horizontal="center"/>
      <protection locked="0"/>
    </xf>
    <xf numFmtId="0" fontId="12" fillId="0" borderId="0" xfId="2" applyFont="1" applyProtection="1">
      <protection locked="0"/>
    </xf>
    <xf numFmtId="0" fontId="10" fillId="0" borderId="0" xfId="2" applyFont="1" applyProtection="1">
      <protection locked="0"/>
    </xf>
    <xf numFmtId="0" fontId="8" fillId="0" borderId="0" xfId="2" applyFont="1" applyProtection="1">
      <protection locked="0"/>
    </xf>
    <xf numFmtId="14" fontId="10" fillId="0" borderId="0" xfId="2" applyNumberFormat="1" applyFont="1" applyAlignment="1" applyProtection="1">
      <alignment horizontal="center"/>
      <protection locked="0"/>
    </xf>
    <xf numFmtId="0" fontId="15" fillId="0" borderId="53" xfId="2" applyFont="1" applyBorder="1" applyAlignment="1" applyProtection="1">
      <alignment horizontal="center" vertical="center"/>
      <protection locked="0"/>
    </xf>
    <xf numFmtId="1" fontId="13" fillId="0" borderId="18" xfId="2" applyNumberFormat="1" applyFont="1" applyBorder="1" applyAlignment="1">
      <alignment horizontal="center"/>
    </xf>
    <xf numFmtId="1" fontId="13" fillId="0" borderId="44" xfId="2" applyNumberFormat="1" applyFont="1" applyBorder="1" applyAlignment="1">
      <alignment horizontal="center"/>
    </xf>
    <xf numFmtId="1" fontId="13" fillId="0" borderId="50" xfId="2" applyNumberFormat="1" applyFont="1" applyBorder="1" applyAlignment="1">
      <alignment horizontal="center"/>
    </xf>
    <xf numFmtId="1" fontId="13" fillId="0" borderId="16" xfId="2" applyNumberFormat="1" applyFont="1" applyBorder="1" applyAlignment="1">
      <alignment horizontal="center"/>
    </xf>
    <xf numFmtId="1" fontId="13" fillId="0" borderId="51" xfId="2" applyNumberFormat="1" applyFont="1" applyBorder="1" applyAlignment="1">
      <alignment horizontal="center"/>
    </xf>
    <xf numFmtId="1" fontId="13" fillId="0" borderId="18" xfId="2" applyNumberFormat="1" applyFont="1" applyBorder="1" applyAlignment="1" applyProtection="1">
      <alignment horizontal="center"/>
      <protection locked="0"/>
    </xf>
    <xf numFmtId="1" fontId="13" fillId="0" borderId="18" xfId="2" quotePrefix="1" applyNumberFormat="1" applyFont="1" applyBorder="1" applyAlignment="1" applyProtection="1">
      <alignment horizontal="center"/>
      <protection locked="0"/>
    </xf>
    <xf numFmtId="1" fontId="13" fillId="0" borderId="50" xfId="2" applyNumberFormat="1" applyFont="1" applyBorder="1" applyAlignment="1" applyProtection="1">
      <alignment horizontal="center"/>
      <protection locked="0"/>
    </xf>
    <xf numFmtId="1" fontId="13" fillId="0" borderId="61" xfId="2" applyNumberFormat="1" applyFont="1" applyBorder="1" applyAlignment="1" applyProtection="1">
      <alignment horizontal="center"/>
      <protection locked="0"/>
    </xf>
    <xf numFmtId="1" fontId="13" fillId="0" borderId="62" xfId="2" applyNumberFormat="1" applyFont="1" applyBorder="1" applyAlignment="1" applyProtection="1">
      <alignment horizontal="center"/>
      <protection locked="0"/>
    </xf>
    <xf numFmtId="1" fontId="13" fillId="0" borderId="14" xfId="2" applyNumberFormat="1" applyFont="1" applyBorder="1" applyAlignment="1">
      <alignment horizontal="center"/>
    </xf>
    <xf numFmtId="1" fontId="13" fillId="0" borderId="59" xfId="2" applyNumberFormat="1" applyFont="1" applyBorder="1" applyAlignment="1">
      <alignment horizontal="center"/>
    </xf>
    <xf numFmtId="1" fontId="13" fillId="3" borderId="14" xfId="2" applyNumberFormat="1" applyFont="1" applyFill="1" applyBorder="1" applyAlignment="1">
      <alignment horizontal="center"/>
    </xf>
    <xf numFmtId="1" fontId="13" fillId="3" borderId="59" xfId="2" applyNumberFormat="1" applyFont="1" applyFill="1" applyBorder="1" applyAlignment="1">
      <alignment horizontal="center"/>
    </xf>
    <xf numFmtId="1" fontId="13" fillId="3" borderId="52" xfId="2" applyNumberFormat="1" applyFont="1" applyFill="1" applyBorder="1" applyAlignment="1" applyProtection="1">
      <alignment horizontal="center"/>
      <protection locked="0"/>
    </xf>
    <xf numFmtId="1" fontId="13" fillId="3" borderId="60" xfId="2" applyNumberFormat="1" applyFont="1" applyFill="1" applyBorder="1" applyAlignment="1" applyProtection="1">
      <alignment horizontal="center"/>
      <protection locked="0"/>
    </xf>
    <xf numFmtId="0" fontId="2" fillId="0" borderId="13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1" fontId="2" fillId="0" borderId="14" xfId="0" applyNumberFormat="1" applyFont="1" applyBorder="1" applyAlignment="1">
      <alignment horizontal="center"/>
    </xf>
    <xf numFmtId="1" fontId="2" fillId="0" borderId="15" xfId="0" applyNumberFormat="1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1" fontId="2" fillId="0" borderId="16" xfId="0" applyNumberFormat="1" applyFont="1" applyBorder="1" applyAlignment="1">
      <alignment horizontal="center"/>
    </xf>
    <xf numFmtId="1" fontId="2" fillId="0" borderId="17" xfId="0" applyNumberFormat="1" applyFont="1" applyBorder="1" applyAlignment="1">
      <alignment horizontal="center"/>
    </xf>
    <xf numFmtId="49" fontId="25" fillId="0" borderId="43" xfId="2" applyNumberFormat="1" applyFont="1" applyBorder="1" applyAlignment="1" applyProtection="1">
      <alignment horizontal="center" vertical="center"/>
      <protection locked="0"/>
    </xf>
    <xf numFmtId="49" fontId="25" fillId="0" borderId="48" xfId="2" applyNumberFormat="1" applyFont="1" applyBorder="1" applyAlignment="1" applyProtection="1">
      <alignment horizontal="center" vertical="center"/>
      <protection locked="0"/>
    </xf>
    <xf numFmtId="0" fontId="25" fillId="0" borderId="48" xfId="2" applyFont="1" applyBorder="1" applyAlignment="1" applyProtection="1">
      <alignment horizontal="center" vertical="center"/>
      <protection locked="0"/>
    </xf>
    <xf numFmtId="0" fontId="25" fillId="0" borderId="54" xfId="2" applyFont="1" applyBorder="1" applyAlignment="1" applyProtection="1">
      <alignment horizontal="center" vertical="center"/>
      <protection locked="0"/>
    </xf>
    <xf numFmtId="0" fontId="13" fillId="0" borderId="0" xfId="0" applyFont="1" applyAlignment="1">
      <alignment horizontal="center"/>
    </xf>
    <xf numFmtId="0" fontId="3" fillId="0" borderId="14" xfId="0" applyFont="1" applyBorder="1" applyAlignment="1">
      <alignment horizontal="center"/>
    </xf>
    <xf numFmtId="0" fontId="26" fillId="0" borderId="48" xfId="2" applyFont="1" applyBorder="1" applyAlignment="1" applyProtection="1">
      <alignment horizontal="center" vertical="center"/>
      <protection locked="0"/>
    </xf>
    <xf numFmtId="0" fontId="16" fillId="0" borderId="47" xfId="2" applyFont="1" applyBorder="1" applyAlignment="1" applyProtection="1">
      <alignment horizontal="center" vertical="center"/>
      <protection locked="0"/>
    </xf>
    <xf numFmtId="1" fontId="13" fillId="3" borderId="44" xfId="2" applyNumberFormat="1" applyFont="1" applyFill="1" applyBorder="1" applyAlignment="1">
      <alignment horizontal="center"/>
    </xf>
    <xf numFmtId="1" fontId="13" fillId="3" borderId="18" xfId="2" applyNumberFormat="1" applyFont="1" applyFill="1" applyBorder="1" applyAlignment="1" applyProtection="1">
      <alignment horizontal="center"/>
      <protection locked="0"/>
    </xf>
    <xf numFmtId="1" fontId="13" fillId="3" borderId="45" xfId="2" applyNumberFormat="1" applyFont="1" applyFill="1" applyBorder="1" applyAlignment="1" applyProtection="1">
      <alignment horizontal="center"/>
      <protection locked="0"/>
    </xf>
    <xf numFmtId="0" fontId="8" fillId="0" borderId="25" xfId="2" applyFont="1" applyBorder="1" applyAlignment="1" applyProtection="1">
      <alignment horizontal="center"/>
      <protection locked="0"/>
    </xf>
    <xf numFmtId="1" fontId="3" fillId="3" borderId="14" xfId="0" applyNumberFormat="1" applyFont="1" applyFill="1" applyBorder="1" applyAlignment="1">
      <alignment horizontal="center"/>
    </xf>
    <xf numFmtId="1" fontId="3" fillId="3" borderId="15" xfId="0" applyNumberFormat="1" applyFont="1" applyFill="1" applyBorder="1" applyAlignment="1">
      <alignment horizontal="center"/>
    </xf>
    <xf numFmtId="1" fontId="3" fillId="4" borderId="14" xfId="0" applyNumberFormat="1" applyFont="1" applyFill="1" applyBorder="1" applyAlignment="1">
      <alignment horizontal="center"/>
    </xf>
    <xf numFmtId="1" fontId="3" fillId="4" borderId="15" xfId="0" applyNumberFormat="1" applyFont="1" applyFill="1" applyBorder="1" applyAlignment="1">
      <alignment horizontal="center"/>
    </xf>
    <xf numFmtId="1" fontId="24" fillId="4" borderId="4" xfId="1" applyNumberFormat="1" applyFont="1" applyFill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50" xfId="0" applyFont="1" applyBorder="1" applyAlignment="1">
      <alignment horizontal="center"/>
    </xf>
    <xf numFmtId="14" fontId="0" fillId="0" borderId="0" xfId="0" applyNumberFormat="1"/>
    <xf numFmtId="49" fontId="16" fillId="0" borderId="48" xfId="2" applyNumberFormat="1" applyFont="1" applyBorder="1" applyAlignment="1" applyProtection="1">
      <alignment horizontal="center" vertical="center"/>
      <protection locked="0"/>
    </xf>
    <xf numFmtId="1" fontId="3" fillId="4" borderId="4" xfId="1" applyNumberFormat="1" applyFont="1" applyFill="1" applyBorder="1" applyAlignment="1">
      <alignment horizontal="center"/>
    </xf>
    <xf numFmtId="49" fontId="2" fillId="0" borderId="14" xfId="0" applyNumberFormat="1" applyFont="1" applyBorder="1" applyAlignment="1">
      <alignment horizontal="center"/>
    </xf>
    <xf numFmtId="0" fontId="2" fillId="0" borderId="19" xfId="0" applyFont="1" applyFill="1" applyBorder="1" applyAlignment="1">
      <alignment horizontal="center"/>
    </xf>
    <xf numFmtId="0" fontId="2" fillId="0" borderId="68" xfId="0" applyFont="1" applyFill="1" applyBorder="1" applyAlignment="1">
      <alignment horizontal="center"/>
    </xf>
    <xf numFmtId="0" fontId="2" fillId="0" borderId="20" xfId="0" applyFont="1" applyFill="1" applyBorder="1" applyAlignment="1">
      <alignment horizontal="center"/>
    </xf>
    <xf numFmtId="0" fontId="7" fillId="0" borderId="0" xfId="0" applyFont="1"/>
    <xf numFmtId="0" fontId="0" fillId="0" borderId="0" xfId="0" applyFill="1"/>
    <xf numFmtId="0" fontId="2" fillId="0" borderId="14" xfId="0" applyFont="1" applyFill="1" applyBorder="1" applyAlignment="1">
      <alignment horizontal="center"/>
    </xf>
    <xf numFmtId="1" fontId="2" fillId="0" borderId="14" xfId="0" applyNumberFormat="1" applyFont="1" applyFill="1" applyBorder="1" applyAlignment="1">
      <alignment horizontal="center"/>
    </xf>
    <xf numFmtId="1" fontId="2" fillId="0" borderId="15" xfId="0" applyNumberFormat="1" applyFont="1" applyFill="1" applyBorder="1" applyAlignment="1">
      <alignment horizontal="center"/>
    </xf>
    <xf numFmtId="0" fontId="0" fillId="0" borderId="0" xfId="0" applyFill="1" applyAlignment="1">
      <alignment horizontal="center"/>
    </xf>
    <xf numFmtId="1" fontId="2" fillId="0" borderId="17" xfId="0" applyNumberFormat="1" applyFont="1" applyFill="1" applyBorder="1" applyAlignment="1">
      <alignment horizontal="center"/>
    </xf>
    <xf numFmtId="1" fontId="13" fillId="0" borderId="14" xfId="2" applyNumberFormat="1" applyFont="1" applyFill="1" applyBorder="1" applyAlignment="1">
      <alignment horizontal="center"/>
    </xf>
    <xf numFmtId="1" fontId="13" fillId="0" borderId="44" xfId="2" applyNumberFormat="1" applyFont="1" applyFill="1" applyBorder="1" applyAlignment="1">
      <alignment horizontal="center"/>
    </xf>
    <xf numFmtId="1" fontId="13" fillId="0" borderId="51" xfId="2" applyNumberFormat="1" applyFont="1" applyFill="1" applyBorder="1" applyAlignment="1">
      <alignment horizontal="center"/>
    </xf>
    <xf numFmtId="49" fontId="25" fillId="0" borderId="48" xfId="2" applyNumberFormat="1" applyFont="1" applyFill="1" applyBorder="1" applyAlignment="1" applyProtection="1">
      <alignment horizontal="center" vertical="center"/>
      <protection locked="0"/>
    </xf>
    <xf numFmtId="0" fontId="25" fillId="0" borderId="48" xfId="2" applyFont="1" applyFill="1" applyBorder="1" applyAlignment="1" applyProtection="1">
      <alignment horizontal="center" vertical="center"/>
      <protection locked="0"/>
    </xf>
    <xf numFmtId="0" fontId="13" fillId="0" borderId="0" xfId="2" applyFont="1" applyFill="1" applyAlignment="1" applyProtection="1">
      <alignment horizontal="center"/>
      <protection locked="0"/>
    </xf>
    <xf numFmtId="1" fontId="13" fillId="0" borderId="63" xfId="2" applyNumberFormat="1" applyFont="1" applyFill="1" applyBorder="1" applyAlignment="1">
      <alignment horizontal="center"/>
    </xf>
    <xf numFmtId="1" fontId="13" fillId="0" borderId="58" xfId="2" applyNumberFormat="1" applyFont="1" applyFill="1" applyBorder="1" applyAlignment="1">
      <alignment horizontal="center"/>
    </xf>
    <xf numFmtId="0" fontId="13" fillId="0" borderId="14" xfId="2" applyFont="1" applyFill="1" applyBorder="1" applyAlignment="1" applyProtection="1">
      <alignment horizontal="center"/>
      <protection locked="0"/>
    </xf>
    <xf numFmtId="1" fontId="2" fillId="0" borderId="16" xfId="0" applyNumberFormat="1" applyFont="1" applyFill="1" applyBorder="1" applyAlignment="1">
      <alignment horizontal="center"/>
    </xf>
    <xf numFmtId="0" fontId="2" fillId="0" borderId="14" xfId="0" applyNumberFormat="1" applyFont="1" applyBorder="1" applyAlignment="1">
      <alignment horizontal="center"/>
    </xf>
    <xf numFmtId="0" fontId="3" fillId="0" borderId="14" xfId="0" applyNumberFormat="1" applyFont="1" applyBorder="1" applyAlignment="1">
      <alignment horizontal="center"/>
    </xf>
    <xf numFmtId="0" fontId="13" fillId="0" borderId="4" xfId="2" applyFont="1" applyBorder="1" applyAlignment="1" applyProtection="1">
      <alignment horizontal="center"/>
      <protection locked="0"/>
    </xf>
    <xf numFmtId="0" fontId="13" fillId="0" borderId="3" xfId="2" applyFont="1" applyBorder="1" applyAlignment="1" applyProtection="1">
      <alignment horizontal="center"/>
      <protection locked="0"/>
    </xf>
    <xf numFmtId="14" fontId="10" fillId="0" borderId="0" xfId="2" applyNumberFormat="1" applyFont="1" applyAlignment="1" applyProtection="1">
      <alignment horizontal="center"/>
      <protection locked="0"/>
    </xf>
    <xf numFmtId="0" fontId="19" fillId="0" borderId="0" xfId="2" applyFont="1" applyAlignment="1" applyProtection="1">
      <alignment horizontal="center"/>
      <protection locked="0"/>
    </xf>
    <xf numFmtId="0" fontId="9" fillId="0" borderId="0" xfId="2" applyFont="1" applyAlignment="1" applyProtection="1">
      <alignment horizontal="left" vertical="top" wrapText="1"/>
      <protection locked="0"/>
    </xf>
    <xf numFmtId="49" fontId="8" fillId="0" borderId="33" xfId="2" applyNumberFormat="1" applyFont="1" applyBorder="1" applyAlignment="1" applyProtection="1">
      <alignment horizontal="center"/>
      <protection locked="0"/>
    </xf>
    <xf numFmtId="49" fontId="8" fillId="0" borderId="0" xfId="2" applyNumberFormat="1" applyFont="1" applyAlignment="1" applyProtection="1">
      <alignment horizontal="center"/>
      <protection locked="0"/>
    </xf>
    <xf numFmtId="49" fontId="9" fillId="0" borderId="0" xfId="2" applyNumberFormat="1" applyFont="1" applyAlignment="1" applyProtection="1">
      <alignment horizontal="center"/>
      <protection locked="0"/>
    </xf>
    <xf numFmtId="49" fontId="9" fillId="0" borderId="40" xfId="2" applyNumberFormat="1" applyFont="1" applyBorder="1" applyAlignment="1" applyProtection="1">
      <alignment horizontal="center"/>
      <protection locked="0"/>
    </xf>
    <xf numFmtId="0" fontId="13" fillId="0" borderId="4" xfId="2" applyFont="1" applyBorder="1" applyAlignment="1" applyProtection="1">
      <alignment horizontal="center" wrapText="1"/>
      <protection locked="0"/>
    </xf>
    <xf numFmtId="0" fontId="13" fillId="0" borderId="3" xfId="2" applyFont="1" applyBorder="1" applyAlignment="1" applyProtection="1">
      <alignment horizontal="center" wrapText="1"/>
      <protection locked="0"/>
    </xf>
    <xf numFmtId="0" fontId="9" fillId="0" borderId="40" xfId="2" applyFont="1" applyBorder="1" applyAlignment="1" applyProtection="1">
      <alignment vertical="center" textRotation="180"/>
      <protection locked="0"/>
    </xf>
    <xf numFmtId="49" fontId="8" fillId="0" borderId="40" xfId="2" applyNumberFormat="1" applyFont="1" applyBorder="1" applyAlignment="1" applyProtection="1">
      <alignment horizontal="center"/>
      <protection locked="0"/>
    </xf>
    <xf numFmtId="0" fontId="20" fillId="0" borderId="0" xfId="2" applyFont="1" applyAlignment="1" applyProtection="1">
      <alignment horizontal="center"/>
      <protection locked="0"/>
    </xf>
    <xf numFmtId="0" fontId="13" fillId="0" borderId="4" xfId="2" applyFont="1" applyBorder="1" applyAlignment="1" applyProtection="1">
      <alignment horizontal="center" vertical="center" wrapText="1"/>
      <protection locked="0"/>
    </xf>
    <xf numFmtId="0" fontId="13" fillId="0" borderId="4" xfId="2" applyFont="1" applyBorder="1" applyAlignment="1" applyProtection="1">
      <alignment horizontal="center" vertical="center"/>
      <protection locked="0"/>
    </xf>
    <xf numFmtId="0" fontId="13" fillId="0" borderId="3" xfId="2" applyFont="1" applyBorder="1" applyAlignment="1" applyProtection="1">
      <alignment horizontal="center" vertical="center"/>
      <protection locked="0"/>
    </xf>
    <xf numFmtId="0" fontId="23" fillId="0" borderId="33" xfId="2" applyFont="1" applyBorder="1" applyAlignment="1" applyProtection="1">
      <alignment horizontal="center"/>
      <protection locked="0"/>
    </xf>
    <xf numFmtId="0" fontId="23" fillId="0" borderId="0" xfId="2" applyFont="1" applyAlignment="1" applyProtection="1">
      <alignment horizontal="center"/>
      <protection locked="0"/>
    </xf>
    <xf numFmtId="0" fontId="23" fillId="0" borderId="40" xfId="2" applyFont="1" applyBorder="1" applyAlignment="1" applyProtection="1">
      <alignment horizontal="center"/>
      <protection locked="0"/>
    </xf>
    <xf numFmtId="0" fontId="8" fillId="0" borderId="34" xfId="2" applyFont="1" applyBorder="1" applyAlignment="1" applyProtection="1">
      <alignment horizontal="center"/>
      <protection locked="0"/>
    </xf>
    <xf numFmtId="0" fontId="8" fillId="0" borderId="35" xfId="2" applyFont="1" applyBorder="1" applyAlignment="1" applyProtection="1">
      <alignment horizontal="center"/>
      <protection locked="0"/>
    </xf>
    <xf numFmtId="0" fontId="9" fillId="0" borderId="35" xfId="2" applyFont="1" applyBorder="1" applyAlignment="1" applyProtection="1">
      <alignment horizontal="center"/>
      <protection locked="0"/>
    </xf>
    <xf numFmtId="0" fontId="9" fillId="0" borderId="39" xfId="2" applyFont="1" applyBorder="1" applyAlignment="1" applyProtection="1">
      <alignment horizontal="center"/>
      <protection locked="0"/>
    </xf>
    <xf numFmtId="0" fontId="8" fillId="0" borderId="33" xfId="2" applyFont="1" applyBorder="1" applyAlignment="1" applyProtection="1">
      <alignment horizontal="center"/>
      <protection locked="0"/>
    </xf>
    <xf numFmtId="0" fontId="8" fillId="0" borderId="0" xfId="2" applyFont="1" applyAlignment="1" applyProtection="1">
      <alignment horizontal="center"/>
      <protection locked="0"/>
    </xf>
    <xf numFmtId="0" fontId="9" fillId="0" borderId="0" xfId="2" applyFont="1" applyAlignment="1" applyProtection="1">
      <alignment horizontal="center"/>
      <protection locked="0"/>
    </xf>
    <xf numFmtId="0" fontId="9" fillId="0" borderId="40" xfId="2" applyFont="1" applyBorder="1" applyAlignment="1" applyProtection="1">
      <alignment horizontal="center"/>
      <protection locked="0"/>
    </xf>
    <xf numFmtId="0" fontId="13" fillId="0" borderId="55" xfId="2" applyFont="1" applyBorder="1" applyAlignment="1" applyProtection="1">
      <alignment horizontal="left"/>
      <protection locked="0"/>
    </xf>
    <xf numFmtId="0" fontId="13" fillId="0" borderId="56" xfId="2" applyFont="1" applyBorder="1" applyAlignment="1" applyProtection="1">
      <alignment horizontal="left"/>
      <protection locked="0"/>
    </xf>
    <xf numFmtId="0" fontId="13" fillId="0" borderId="57" xfId="2" applyFont="1" applyBorder="1" applyAlignment="1" applyProtection="1">
      <alignment horizontal="left"/>
      <protection locked="0"/>
    </xf>
    <xf numFmtId="0" fontId="8" fillId="0" borderId="0" xfId="2" applyNumberFormat="1" applyFont="1" applyAlignment="1" applyProtection="1">
      <alignment horizontal="center"/>
      <protection locked="0"/>
    </xf>
    <xf numFmtId="0" fontId="9" fillId="0" borderId="0" xfId="2" applyNumberFormat="1" applyFont="1" applyAlignment="1" applyProtection="1">
      <alignment horizontal="center"/>
      <protection locked="0"/>
    </xf>
    <xf numFmtId="0" fontId="9" fillId="0" borderId="40" xfId="2" applyNumberFormat="1" applyFont="1" applyBorder="1" applyAlignment="1" applyProtection="1">
      <alignment horizontal="center"/>
      <protection locked="0"/>
    </xf>
    <xf numFmtId="0" fontId="1" fillId="0" borderId="22" xfId="0" applyFont="1" applyBorder="1" applyAlignment="1">
      <alignment horizontal="center" vertical="top"/>
    </xf>
    <xf numFmtId="0" fontId="1" fillId="0" borderId="23" xfId="0" applyFont="1" applyBorder="1" applyAlignment="1">
      <alignment horizontal="center" vertical="top"/>
    </xf>
    <xf numFmtId="0" fontId="1" fillId="0" borderId="29" xfId="0" applyFont="1" applyBorder="1" applyAlignment="1">
      <alignment horizontal="center" vertical="top"/>
    </xf>
    <xf numFmtId="49" fontId="11" fillId="0" borderId="8" xfId="0" applyNumberFormat="1" applyFont="1" applyBorder="1" applyAlignment="1" applyProtection="1">
      <alignment horizontal="center"/>
      <protection locked="0"/>
    </xf>
    <xf numFmtId="49" fontId="11" fillId="0" borderId="0" xfId="0" applyNumberFormat="1" applyFont="1" applyAlignment="1" applyProtection="1">
      <alignment horizontal="center"/>
      <protection locked="0"/>
    </xf>
    <xf numFmtId="49" fontId="11" fillId="0" borderId="9" xfId="0" applyNumberFormat="1" applyFont="1" applyBorder="1" applyAlignment="1" applyProtection="1">
      <alignment horizontal="center"/>
      <protection locked="0"/>
    </xf>
    <xf numFmtId="0" fontId="0" fillId="0" borderId="5" xfId="0" applyBorder="1" applyAlignment="1" applyProtection="1">
      <alignment horizontal="center"/>
      <protection locked="0"/>
    </xf>
    <xf numFmtId="0" fontId="0" fillId="0" borderId="6" xfId="0" applyBorder="1" applyAlignment="1" applyProtection="1">
      <alignment horizontal="center"/>
      <protection locked="0"/>
    </xf>
    <xf numFmtId="0" fontId="0" fillId="0" borderId="7" xfId="0" applyBorder="1" applyAlignment="1" applyProtection="1">
      <alignment horizontal="center"/>
      <protection locked="0"/>
    </xf>
    <xf numFmtId="0" fontId="11" fillId="0" borderId="8" xfId="0" applyFont="1" applyBorder="1" applyAlignment="1" applyProtection="1">
      <alignment horizontal="center"/>
      <protection locked="0"/>
    </xf>
    <xf numFmtId="0" fontId="11" fillId="0" borderId="0" xfId="0" applyFont="1" applyAlignment="1" applyProtection="1">
      <alignment horizontal="center"/>
      <protection locked="0"/>
    </xf>
    <xf numFmtId="0" fontId="11" fillId="0" borderId="9" xfId="0" applyFont="1" applyBorder="1" applyAlignment="1" applyProtection="1">
      <alignment horizontal="center"/>
      <protection locked="0"/>
    </xf>
    <xf numFmtId="0" fontId="11" fillId="0" borderId="0" xfId="0" applyNumberFormat="1" applyFont="1" applyAlignment="1" applyProtection="1">
      <alignment horizontal="center"/>
      <protection locked="0"/>
    </xf>
    <xf numFmtId="0" fontId="11" fillId="0" borderId="9" xfId="0" applyNumberFormat="1" applyFont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0" borderId="9" xfId="0" applyBorder="1" applyAlignment="1">
      <alignment horizontal="center"/>
    </xf>
    <xf numFmtId="4" fontId="2" fillId="0" borderId="0" xfId="0" applyNumberFormat="1" applyFont="1" applyAlignment="1">
      <alignment horizontal="center" wrapText="1"/>
    </xf>
    <xf numFmtId="4" fontId="2" fillId="0" borderId="30" xfId="0" applyNumberFormat="1" applyFont="1" applyBorder="1" applyAlignment="1">
      <alignment horizontal="center" wrapText="1"/>
    </xf>
    <xf numFmtId="4" fontId="2" fillId="0" borderId="31" xfId="0" applyNumberFormat="1" applyFont="1" applyBorder="1" applyAlignment="1">
      <alignment horizontal="center" wrapText="1"/>
    </xf>
    <xf numFmtId="4" fontId="2" fillId="0" borderId="24" xfId="0" applyNumberFormat="1" applyFont="1" applyBorder="1" applyAlignment="1">
      <alignment horizontal="center" wrapText="1"/>
    </xf>
    <xf numFmtId="4" fontId="2" fillId="0" borderId="26" xfId="0" applyNumberFormat="1" applyFont="1" applyBorder="1" applyAlignment="1">
      <alignment horizontal="center" wrapText="1"/>
    </xf>
    <xf numFmtId="0" fontId="2" fillId="0" borderId="36" xfId="0" applyFont="1" applyBorder="1" applyAlignment="1">
      <alignment horizontal="center" wrapText="1"/>
    </xf>
    <xf numFmtId="0" fontId="2" fillId="0" borderId="37" xfId="0" applyFont="1" applyBorder="1" applyAlignment="1">
      <alignment horizontal="center" wrapText="1"/>
    </xf>
    <xf numFmtId="0" fontId="2" fillId="0" borderId="28" xfId="0" applyFont="1" applyBorder="1" applyAlignment="1">
      <alignment horizontal="center" wrapText="1"/>
    </xf>
    <xf numFmtId="0" fontId="2" fillId="0" borderId="27" xfId="0" applyFont="1" applyBorder="1" applyAlignment="1">
      <alignment horizontal="center" wrapText="1"/>
    </xf>
    <xf numFmtId="0" fontId="3" fillId="0" borderId="21" xfId="0" applyFont="1" applyBorder="1" applyAlignment="1">
      <alignment horizontal="left" vertical="top"/>
    </xf>
    <xf numFmtId="0" fontId="3" fillId="0" borderId="12" xfId="0" applyFont="1" applyBorder="1" applyAlignment="1">
      <alignment horizontal="left" vertical="top"/>
    </xf>
    <xf numFmtId="0" fontId="3" fillId="0" borderId="1" xfId="0" applyFont="1" applyBorder="1" applyAlignment="1">
      <alignment horizontal="left" vertical="top"/>
    </xf>
    <xf numFmtId="0" fontId="4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32" xfId="0" applyBorder="1" applyAlignment="1">
      <alignment horizontal="center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0" fillId="0" borderId="64" xfId="0" applyBorder="1" applyAlignment="1">
      <alignment horizontal="center"/>
    </xf>
    <xf numFmtId="0" fontId="0" fillId="0" borderId="65" xfId="0" applyBorder="1" applyAlignment="1">
      <alignment horizontal="center"/>
    </xf>
    <xf numFmtId="0" fontId="0" fillId="0" borderId="66" xfId="0" applyBorder="1" applyAlignment="1">
      <alignment horizontal="center"/>
    </xf>
    <xf numFmtId="4" fontId="2" fillId="0" borderId="34" xfId="0" applyNumberFormat="1" applyFont="1" applyBorder="1" applyAlignment="1">
      <alignment horizontal="center" wrapText="1"/>
    </xf>
    <xf numFmtId="4" fontId="2" fillId="0" borderId="39" xfId="0" applyNumberFormat="1" applyFont="1" applyBorder="1" applyAlignment="1">
      <alignment horizontal="center" wrapText="1"/>
    </xf>
    <xf numFmtId="0" fontId="2" fillId="0" borderId="67" xfId="0" applyFont="1" applyBorder="1" applyAlignment="1">
      <alignment horizontal="center" wrapText="1"/>
    </xf>
    <xf numFmtId="0" fontId="3" fillId="0" borderId="3" xfId="0" applyFont="1" applyBorder="1" applyAlignment="1">
      <alignment horizontal="left" vertical="top"/>
    </xf>
  </cellXfs>
  <cellStyles count="3">
    <cellStyle name="Calculation" xfId="1" builtinId="22"/>
    <cellStyle name="Normal" xfId="0" builtinId="0"/>
    <cellStyle name="Normal 2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AA83"/>
  <sheetViews>
    <sheetView showGridLines="0" tabSelected="1" topLeftCell="A4" zoomScale="60" zoomScaleNormal="60" zoomScaleSheetLayoutView="50" workbookViewId="0">
      <selection activeCell="D11" sqref="D11"/>
    </sheetView>
  </sheetViews>
  <sheetFormatPr defaultRowHeight="23.25" x14ac:dyDescent="0.35"/>
  <cols>
    <col min="1" max="1" width="6.140625" style="19" customWidth="1"/>
    <col min="2" max="2" width="3.28515625" style="19" customWidth="1"/>
    <col min="3" max="3" width="10.85546875" style="19" customWidth="1"/>
    <col min="4" max="4" width="37.7109375" style="20" customWidth="1"/>
    <col min="5" max="5" width="47.42578125" style="20" customWidth="1"/>
    <col min="6" max="6" width="19.5703125" style="19" customWidth="1"/>
    <col min="7" max="7" width="18.140625" style="19" customWidth="1"/>
    <col min="8" max="8" width="18.42578125" style="19" customWidth="1"/>
    <col min="9" max="13" width="14.7109375" style="19" customWidth="1"/>
    <col min="14" max="14" width="16.140625" style="20" bestFit="1" customWidth="1"/>
    <col min="15" max="16" width="14.7109375" style="19" customWidth="1"/>
    <col min="17" max="17" width="5" style="19" customWidth="1"/>
    <col min="18" max="18" width="3.7109375" style="19" customWidth="1"/>
    <col min="19" max="19" width="21.28515625" style="21" bestFit="1" customWidth="1"/>
    <col min="20" max="20" width="21.5703125" style="21" customWidth="1"/>
    <col min="21" max="21" width="19.5703125" style="21" customWidth="1"/>
    <col min="22" max="22" width="23.28515625" style="21" customWidth="1"/>
    <col min="23" max="23" width="28.42578125" style="21" customWidth="1"/>
    <col min="24" max="24" width="19.140625" style="19" customWidth="1"/>
    <col min="25" max="25" width="24.7109375" style="19" customWidth="1"/>
    <col min="26" max="26" width="19" style="19" customWidth="1"/>
    <col min="27" max="16384" width="9.140625" style="19"/>
  </cols>
  <sheetData>
    <row r="1" spans="1:27" ht="24" thickBot="1" x14ac:dyDescent="0.4"/>
    <row r="2" spans="1:27" ht="24" thickBot="1" x14ac:dyDescent="0.4">
      <c r="B2" s="22"/>
      <c r="C2" s="23"/>
      <c r="D2" s="24"/>
      <c r="E2" s="24"/>
      <c r="F2" s="23"/>
      <c r="G2" s="23"/>
      <c r="H2" s="23"/>
      <c r="I2" s="23"/>
      <c r="J2" s="23"/>
      <c r="K2" s="23"/>
      <c r="L2" s="23"/>
      <c r="M2" s="23"/>
      <c r="N2" s="24"/>
      <c r="O2" s="23"/>
      <c r="P2" s="23"/>
      <c r="Q2" s="25"/>
    </row>
    <row r="3" spans="1:27" x14ac:dyDescent="0.35">
      <c r="B3" s="26"/>
      <c r="C3" s="22"/>
      <c r="D3" s="24"/>
      <c r="E3" s="24"/>
      <c r="F3" s="23"/>
      <c r="G3" s="23"/>
      <c r="H3" s="23"/>
      <c r="I3" s="23"/>
      <c r="J3" s="23"/>
      <c r="K3" s="23"/>
      <c r="L3" s="23"/>
      <c r="M3" s="23"/>
      <c r="N3" s="24"/>
      <c r="O3" s="23"/>
      <c r="P3" s="25"/>
      <c r="Q3" s="27"/>
    </row>
    <row r="4" spans="1:27" ht="28.5" customHeight="1" thickBot="1" x14ac:dyDescent="0.45">
      <c r="B4" s="26"/>
      <c r="C4" s="157" t="s">
        <v>15</v>
      </c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9"/>
      <c r="Q4" s="27"/>
    </row>
    <row r="5" spans="1:27" ht="21.75" customHeight="1" thickBot="1" x14ac:dyDescent="0.45">
      <c r="B5" s="26"/>
      <c r="C5" s="28"/>
      <c r="D5" s="29"/>
      <c r="E5" s="29"/>
      <c r="F5" s="155" t="s">
        <v>28</v>
      </c>
      <c r="G5" s="155"/>
      <c r="H5" s="155"/>
      <c r="I5" s="155"/>
      <c r="J5" s="155"/>
      <c r="K5" s="155"/>
      <c r="L5" s="155"/>
      <c r="M5" s="155"/>
      <c r="N5" s="156"/>
      <c r="O5" s="154" t="s">
        <v>4</v>
      </c>
      <c r="P5" s="154"/>
      <c r="Q5" s="30"/>
      <c r="T5" s="31"/>
      <c r="U5" s="31"/>
      <c r="V5" s="31"/>
      <c r="W5" s="31"/>
      <c r="X5" s="31"/>
      <c r="Y5" s="31"/>
      <c r="Z5" s="31"/>
    </row>
    <row r="6" spans="1:27" ht="21.75" customHeight="1" thickBot="1" x14ac:dyDescent="0.4">
      <c r="B6" s="26"/>
      <c r="C6" s="32"/>
      <c r="D6" s="33"/>
      <c r="E6" s="34"/>
      <c r="F6" s="140" t="s">
        <v>7</v>
      </c>
      <c r="G6" s="140"/>
      <c r="H6" s="140"/>
      <c r="I6" s="140" t="s">
        <v>8</v>
      </c>
      <c r="J6" s="140"/>
      <c r="K6" s="140"/>
      <c r="L6" s="140" t="s">
        <v>11</v>
      </c>
      <c r="M6" s="140"/>
      <c r="N6" s="141"/>
      <c r="O6" s="154"/>
      <c r="P6" s="154"/>
      <c r="Q6" s="30"/>
      <c r="T6" s="35"/>
      <c r="U6" s="35"/>
      <c r="V6" s="35"/>
      <c r="W6" s="35"/>
      <c r="X6" s="35"/>
      <c r="Y6" s="35"/>
      <c r="Z6" s="35"/>
    </row>
    <row r="7" spans="1:27" ht="24" thickBot="1" x14ac:dyDescent="0.4">
      <c r="B7" s="26"/>
      <c r="C7" s="36"/>
      <c r="D7" s="29"/>
      <c r="E7" s="37"/>
      <c r="F7" s="140"/>
      <c r="G7" s="140"/>
      <c r="H7" s="140"/>
      <c r="I7" s="140"/>
      <c r="J7" s="140"/>
      <c r="K7" s="140"/>
      <c r="L7" s="140"/>
      <c r="M7" s="140"/>
      <c r="N7" s="141"/>
      <c r="O7" s="154"/>
      <c r="P7" s="154"/>
      <c r="Q7" s="30"/>
      <c r="T7" s="35"/>
      <c r="U7" s="35"/>
      <c r="V7" s="35"/>
      <c r="W7" s="35"/>
      <c r="X7" s="35"/>
      <c r="Y7" s="35"/>
      <c r="Z7" s="35"/>
    </row>
    <row r="8" spans="1:27" ht="27.75" customHeight="1" thickBot="1" x14ac:dyDescent="0.4">
      <c r="B8" s="26"/>
      <c r="C8" s="36" t="s">
        <v>20</v>
      </c>
      <c r="D8" s="29" t="s">
        <v>21</v>
      </c>
      <c r="E8" s="37" t="s">
        <v>22</v>
      </c>
      <c r="F8" s="154" t="s">
        <v>5</v>
      </c>
      <c r="G8" s="154" t="s">
        <v>12</v>
      </c>
      <c r="H8" s="154" t="s">
        <v>6</v>
      </c>
      <c r="I8" s="149" t="s">
        <v>29</v>
      </c>
      <c r="J8" s="149" t="s">
        <v>30</v>
      </c>
      <c r="K8" s="149" t="s">
        <v>31</v>
      </c>
      <c r="L8" s="149" t="s">
        <v>29</v>
      </c>
      <c r="M8" s="149" t="s">
        <v>30</v>
      </c>
      <c r="N8" s="150" t="s">
        <v>31</v>
      </c>
      <c r="O8" s="149" t="s">
        <v>29</v>
      </c>
      <c r="P8" s="149" t="s">
        <v>30</v>
      </c>
      <c r="Q8" s="30"/>
      <c r="T8" s="35"/>
      <c r="U8" s="35"/>
      <c r="V8" s="35"/>
      <c r="W8" s="35"/>
      <c r="X8" s="35"/>
      <c r="Y8" s="35"/>
      <c r="Z8" s="35"/>
    </row>
    <row r="9" spans="1:27" ht="23.25" customHeight="1" thickBot="1" x14ac:dyDescent="0.4">
      <c r="B9" s="26"/>
      <c r="C9" s="36" t="s">
        <v>23</v>
      </c>
      <c r="D9" s="29" t="s">
        <v>24</v>
      </c>
      <c r="E9" s="37" t="s">
        <v>25</v>
      </c>
      <c r="F9" s="154"/>
      <c r="G9" s="154"/>
      <c r="H9" s="154"/>
      <c r="I9" s="149"/>
      <c r="J9" s="149"/>
      <c r="K9" s="149"/>
      <c r="L9" s="149"/>
      <c r="M9" s="149"/>
      <c r="N9" s="150"/>
      <c r="O9" s="149"/>
      <c r="P9" s="149"/>
      <c r="Q9" s="30"/>
      <c r="T9" s="35"/>
      <c r="U9" s="35"/>
      <c r="V9" s="35"/>
      <c r="W9" s="35"/>
      <c r="X9" s="35"/>
      <c r="Y9" s="35"/>
      <c r="Z9" s="35"/>
    </row>
    <row r="10" spans="1:27" ht="24" thickBot="1" x14ac:dyDescent="0.4">
      <c r="B10" s="26"/>
      <c r="C10" s="38"/>
      <c r="D10" s="39"/>
      <c r="E10" s="40"/>
      <c r="F10" s="154"/>
      <c r="G10" s="154"/>
      <c r="H10" s="154"/>
      <c r="I10" s="149"/>
      <c r="J10" s="149"/>
      <c r="K10" s="149"/>
      <c r="L10" s="149"/>
      <c r="M10" s="149"/>
      <c r="N10" s="150"/>
      <c r="O10" s="149"/>
      <c r="P10" s="149"/>
      <c r="Q10" s="30"/>
      <c r="T10" s="35"/>
      <c r="U10" s="35"/>
      <c r="V10" s="35"/>
      <c r="W10" s="35"/>
      <c r="X10" s="35"/>
      <c r="Y10" s="35"/>
      <c r="Z10" s="35"/>
      <c r="AA10" s="41"/>
    </row>
    <row r="11" spans="1:27" ht="24.95" customHeight="1" x14ac:dyDescent="0.35">
      <c r="A11" s="42"/>
      <c r="B11" s="26"/>
      <c r="C11" s="43">
        <v>1</v>
      </c>
      <c r="D11" s="95" t="s">
        <v>73</v>
      </c>
      <c r="E11" s="43" t="s">
        <v>47</v>
      </c>
      <c r="F11" s="71"/>
      <c r="G11" s="72"/>
      <c r="H11" s="72" t="s">
        <v>34</v>
      </c>
      <c r="I11" s="129"/>
      <c r="J11" s="134"/>
      <c r="K11" s="83"/>
      <c r="L11" s="129">
        <v>11887</v>
      </c>
      <c r="M11" s="135">
        <v>6469</v>
      </c>
      <c r="N11" s="83">
        <f>L11+M11</f>
        <v>18356</v>
      </c>
      <c r="O11" s="76"/>
      <c r="P11" s="44"/>
      <c r="Q11" s="30"/>
      <c r="X11" s="21"/>
      <c r="Y11" s="21"/>
      <c r="Z11" s="21"/>
    </row>
    <row r="12" spans="1:27" ht="24.95" customHeight="1" x14ac:dyDescent="0.35">
      <c r="A12" s="42"/>
      <c r="B12" s="26"/>
      <c r="C12" s="45">
        <v>2</v>
      </c>
      <c r="D12" s="131" t="s">
        <v>74</v>
      </c>
      <c r="E12" s="45" t="s">
        <v>35</v>
      </c>
      <c r="F12" s="71"/>
      <c r="G12" s="72"/>
      <c r="H12" s="72" t="s">
        <v>34</v>
      </c>
      <c r="I12" s="129"/>
      <c r="J12" s="128"/>
      <c r="K12" s="83"/>
      <c r="L12" s="129">
        <v>30036</v>
      </c>
      <c r="M12" s="129">
        <v>20253</v>
      </c>
      <c r="N12" s="83">
        <f>L12+M12</f>
        <v>50289</v>
      </c>
      <c r="O12" s="77"/>
      <c r="P12" s="46"/>
      <c r="Q12" s="30"/>
      <c r="X12" s="21"/>
      <c r="Y12" s="21"/>
      <c r="Z12" s="21"/>
    </row>
    <row r="13" spans="1:27" ht="24.95" customHeight="1" x14ac:dyDescent="0.35">
      <c r="A13" s="42"/>
      <c r="B13" s="26"/>
      <c r="C13" s="43">
        <v>3</v>
      </c>
      <c r="D13" s="131" t="s">
        <v>78</v>
      </c>
      <c r="E13" s="45" t="s">
        <v>36</v>
      </c>
      <c r="F13" s="71" t="s">
        <v>34</v>
      </c>
      <c r="G13" s="72"/>
      <c r="H13" s="72"/>
      <c r="I13" s="129"/>
      <c r="J13" s="128"/>
      <c r="K13" s="83"/>
      <c r="L13" s="129">
        <v>24234</v>
      </c>
      <c r="M13" s="129">
        <v>16102</v>
      </c>
      <c r="N13" s="83">
        <f>L13+M13</f>
        <v>40336</v>
      </c>
      <c r="O13" s="76"/>
      <c r="P13" s="46"/>
      <c r="Q13" s="30"/>
      <c r="X13" s="21"/>
      <c r="Y13" s="21"/>
      <c r="Z13" s="21"/>
    </row>
    <row r="14" spans="1:27" ht="24.95" customHeight="1" x14ac:dyDescent="0.35">
      <c r="A14" s="42"/>
      <c r="B14" s="26"/>
      <c r="C14" s="45">
        <v>4</v>
      </c>
      <c r="D14" s="132" t="s">
        <v>79</v>
      </c>
      <c r="E14" s="45" t="s">
        <v>35</v>
      </c>
      <c r="F14" s="71"/>
      <c r="G14" s="72"/>
      <c r="H14" s="72" t="s">
        <v>34</v>
      </c>
      <c r="I14" s="129"/>
      <c r="J14" s="128"/>
      <c r="K14" s="83"/>
      <c r="L14" s="129">
        <v>59975</v>
      </c>
      <c r="M14" s="129">
        <v>31004</v>
      </c>
      <c r="N14" s="83">
        <f>L14+M14</f>
        <v>90979</v>
      </c>
      <c r="O14" s="76"/>
      <c r="P14" s="46"/>
      <c r="Q14" s="30"/>
      <c r="X14" s="21"/>
      <c r="Y14" s="21"/>
      <c r="Z14" s="21"/>
    </row>
    <row r="15" spans="1:27" ht="24.95" customHeight="1" x14ac:dyDescent="0.35">
      <c r="A15" s="42"/>
      <c r="B15" s="26"/>
      <c r="C15" s="43"/>
      <c r="D15" s="132" t="s">
        <v>79</v>
      </c>
      <c r="E15" s="45" t="s">
        <v>37</v>
      </c>
      <c r="F15" s="71" t="s">
        <v>34</v>
      </c>
      <c r="G15" s="72"/>
      <c r="H15" s="72"/>
      <c r="I15" s="129"/>
      <c r="J15" s="128"/>
      <c r="K15" s="83"/>
      <c r="L15" s="129">
        <v>84394</v>
      </c>
      <c r="M15" s="129">
        <v>45535</v>
      </c>
      <c r="N15" s="83">
        <f t="shared" ref="N15" si="0">L15+M15</f>
        <v>129929</v>
      </c>
      <c r="O15" s="76"/>
      <c r="P15" s="46"/>
      <c r="Q15" s="30"/>
      <c r="X15" s="21"/>
      <c r="Y15" s="21"/>
      <c r="Z15" s="21"/>
    </row>
    <row r="16" spans="1:27" ht="24.95" customHeight="1" x14ac:dyDescent="0.35">
      <c r="A16" s="42"/>
      <c r="B16" s="26"/>
      <c r="C16" s="43">
        <v>5</v>
      </c>
      <c r="D16" s="131" t="s">
        <v>80</v>
      </c>
      <c r="E16" s="45" t="s">
        <v>83</v>
      </c>
      <c r="F16" s="71" t="s">
        <v>34</v>
      </c>
      <c r="G16" s="72"/>
      <c r="H16" s="72"/>
      <c r="I16" s="129"/>
      <c r="J16" s="128"/>
      <c r="K16" s="83"/>
      <c r="L16" s="129">
        <v>13310</v>
      </c>
      <c r="M16" s="129">
        <v>8641</v>
      </c>
      <c r="N16" s="83">
        <f t="shared" ref="N16" si="1">L16+M16</f>
        <v>21951</v>
      </c>
      <c r="O16" s="76"/>
      <c r="P16" s="46"/>
      <c r="Q16" s="30"/>
      <c r="S16" s="19"/>
      <c r="T16" s="19"/>
      <c r="X16" s="21"/>
      <c r="Y16" s="21"/>
      <c r="Z16" s="21"/>
    </row>
    <row r="17" spans="1:26" ht="24.95" customHeight="1" x14ac:dyDescent="0.35">
      <c r="A17" s="42"/>
      <c r="B17" s="26"/>
      <c r="C17" s="45">
        <v>6</v>
      </c>
      <c r="D17" s="131" t="s">
        <v>81</v>
      </c>
      <c r="E17" s="45" t="s">
        <v>12</v>
      </c>
      <c r="F17" s="71"/>
      <c r="G17" s="72" t="s">
        <v>34</v>
      </c>
      <c r="H17" s="72"/>
      <c r="I17" s="129">
        <v>27484</v>
      </c>
      <c r="J17" s="128">
        <v>17336</v>
      </c>
      <c r="K17" s="83">
        <f>I17+J17</f>
        <v>44820</v>
      </c>
      <c r="L17" s="129"/>
      <c r="M17" s="130"/>
      <c r="N17" s="83"/>
      <c r="O17" s="78"/>
      <c r="P17" s="47"/>
      <c r="Q17" s="30"/>
      <c r="X17" s="21"/>
      <c r="Y17" s="21"/>
      <c r="Z17" s="21"/>
    </row>
    <row r="18" spans="1:26" ht="24.95" customHeight="1" x14ac:dyDescent="0.35">
      <c r="A18" s="42"/>
      <c r="B18" s="26"/>
      <c r="C18" s="43"/>
      <c r="D18" s="131" t="s">
        <v>81</v>
      </c>
      <c r="E18" s="45" t="s">
        <v>35</v>
      </c>
      <c r="F18" s="71" t="s">
        <v>34</v>
      </c>
      <c r="G18" s="72"/>
      <c r="H18" s="72"/>
      <c r="I18" s="129"/>
      <c r="J18" s="128"/>
      <c r="K18" s="83"/>
      <c r="L18" s="129">
        <v>1035</v>
      </c>
      <c r="M18" s="129">
        <v>1518</v>
      </c>
      <c r="N18" s="83">
        <f>L18+M18</f>
        <v>2553</v>
      </c>
      <c r="O18" s="78"/>
      <c r="P18" s="47"/>
      <c r="Q18" s="30"/>
      <c r="X18" s="21"/>
      <c r="Y18" s="21"/>
      <c r="Z18" s="21"/>
    </row>
    <row r="19" spans="1:26" ht="24.95" customHeight="1" x14ac:dyDescent="0.35">
      <c r="A19" s="42"/>
      <c r="B19" s="26"/>
      <c r="C19" s="45">
        <v>7</v>
      </c>
      <c r="D19" s="131" t="s">
        <v>82</v>
      </c>
      <c r="E19" s="45" t="s">
        <v>12</v>
      </c>
      <c r="F19" s="71"/>
      <c r="G19" s="72" t="s">
        <v>34</v>
      </c>
      <c r="H19" s="72"/>
      <c r="I19" s="129">
        <v>3126</v>
      </c>
      <c r="J19" s="128">
        <v>1011.37</v>
      </c>
      <c r="K19" s="83">
        <f>I19+J19</f>
        <v>4137.37</v>
      </c>
      <c r="L19" s="129"/>
      <c r="M19" s="130"/>
      <c r="N19" s="83"/>
      <c r="O19" s="78"/>
      <c r="P19" s="47"/>
      <c r="Q19" s="30"/>
      <c r="X19" s="21"/>
      <c r="Y19" s="21"/>
      <c r="Z19" s="21"/>
    </row>
    <row r="20" spans="1:26" ht="24.95" customHeight="1" x14ac:dyDescent="0.35">
      <c r="A20" s="42"/>
      <c r="B20" s="26"/>
      <c r="C20" s="43"/>
      <c r="D20" s="131" t="s">
        <v>82</v>
      </c>
      <c r="E20" s="45" t="s">
        <v>35</v>
      </c>
      <c r="F20" s="71" t="s">
        <v>34</v>
      </c>
      <c r="G20" s="72"/>
      <c r="H20" s="72"/>
      <c r="I20" s="129"/>
      <c r="J20" s="128"/>
      <c r="K20" s="83"/>
      <c r="L20" s="129">
        <v>9984</v>
      </c>
      <c r="M20" s="129">
        <v>6085</v>
      </c>
      <c r="N20" s="83">
        <f t="shared" ref="N20" si="2">L20+M20</f>
        <v>16069</v>
      </c>
      <c r="O20" s="76"/>
      <c r="P20" s="46"/>
      <c r="Q20" s="30"/>
      <c r="X20" s="21"/>
      <c r="Y20" s="21"/>
      <c r="Z20" s="21"/>
    </row>
    <row r="21" spans="1:26" ht="24.95" customHeight="1" x14ac:dyDescent="0.35">
      <c r="A21" s="42"/>
      <c r="B21" s="26"/>
      <c r="C21" s="45">
        <v>8</v>
      </c>
      <c r="D21" s="115" t="s">
        <v>70</v>
      </c>
      <c r="E21" s="115" t="s">
        <v>71</v>
      </c>
      <c r="F21" s="71"/>
      <c r="G21" s="72"/>
      <c r="H21" s="72"/>
      <c r="I21" s="129"/>
      <c r="J21" s="128"/>
      <c r="K21" s="83"/>
      <c r="L21" s="129"/>
      <c r="M21" s="130"/>
      <c r="N21" s="83"/>
      <c r="O21" s="78"/>
      <c r="P21" s="47"/>
      <c r="Q21" s="30"/>
      <c r="X21" s="21"/>
      <c r="Y21" s="21"/>
      <c r="Z21" s="29"/>
    </row>
    <row r="22" spans="1:26" ht="24.95" customHeight="1" x14ac:dyDescent="0.35">
      <c r="A22" s="42"/>
      <c r="B22" s="26"/>
      <c r="C22" s="43">
        <v>9</v>
      </c>
      <c r="D22" s="96" t="s">
        <v>38</v>
      </c>
      <c r="E22" s="45" t="s">
        <v>37</v>
      </c>
      <c r="F22" s="71" t="s">
        <v>34</v>
      </c>
      <c r="G22" s="72"/>
      <c r="H22" s="72"/>
      <c r="I22" s="129"/>
      <c r="J22" s="128"/>
      <c r="K22" s="83"/>
      <c r="L22" s="129">
        <v>25718</v>
      </c>
      <c r="M22" s="129">
        <v>16949</v>
      </c>
      <c r="N22" s="83">
        <f>L22+M22</f>
        <v>42667</v>
      </c>
      <c r="O22" s="76"/>
      <c r="P22" s="46"/>
      <c r="Q22" s="30"/>
      <c r="X22" s="21"/>
      <c r="Y22" s="21"/>
      <c r="Z22" s="29"/>
    </row>
    <row r="23" spans="1:26" ht="24.95" customHeight="1" x14ac:dyDescent="0.35">
      <c r="A23" s="42"/>
      <c r="B23" s="26"/>
      <c r="C23" s="45">
        <v>10</v>
      </c>
      <c r="D23" s="97" t="s">
        <v>57</v>
      </c>
      <c r="E23" s="99" t="s">
        <v>37</v>
      </c>
      <c r="F23" s="71" t="s">
        <v>34</v>
      </c>
      <c r="G23" s="72"/>
      <c r="H23" s="72"/>
      <c r="I23" s="129"/>
      <c r="J23" s="128"/>
      <c r="K23" s="83" t="s">
        <v>56</v>
      </c>
      <c r="L23" s="129">
        <v>30892</v>
      </c>
      <c r="M23" s="129">
        <v>21347</v>
      </c>
      <c r="N23" s="83">
        <f t="shared" ref="N23:N30" si="3">L23+M23</f>
        <v>52239</v>
      </c>
      <c r="O23" s="76"/>
      <c r="P23" s="46"/>
      <c r="Q23" s="30"/>
      <c r="X23" s="21"/>
      <c r="Y23" s="21"/>
      <c r="Z23" s="29"/>
    </row>
    <row r="24" spans="1:26" ht="24.95" customHeight="1" x14ac:dyDescent="0.35">
      <c r="A24" s="42"/>
      <c r="B24" s="26"/>
      <c r="C24" s="43">
        <v>11</v>
      </c>
      <c r="D24" s="97" t="s">
        <v>58</v>
      </c>
      <c r="E24" s="45" t="s">
        <v>37</v>
      </c>
      <c r="F24" s="71" t="s">
        <v>34</v>
      </c>
      <c r="G24" s="72"/>
      <c r="H24" s="72"/>
      <c r="I24" s="129"/>
      <c r="J24" s="128"/>
      <c r="K24" s="83" t="s">
        <v>56</v>
      </c>
      <c r="L24" s="129">
        <v>21649</v>
      </c>
      <c r="M24" s="129">
        <v>15710</v>
      </c>
      <c r="N24" s="83">
        <f t="shared" si="3"/>
        <v>37359</v>
      </c>
      <c r="O24" s="76"/>
      <c r="P24" s="46"/>
      <c r="Q24" s="30"/>
      <c r="X24" s="21"/>
      <c r="Y24" s="21"/>
      <c r="Z24" s="29"/>
    </row>
    <row r="25" spans="1:26" ht="24.95" customHeight="1" x14ac:dyDescent="0.35">
      <c r="A25" s="42"/>
      <c r="B25" s="26"/>
      <c r="C25" s="45">
        <v>12</v>
      </c>
      <c r="D25" s="97" t="s">
        <v>39</v>
      </c>
      <c r="E25" s="45" t="s">
        <v>36</v>
      </c>
      <c r="F25" s="71"/>
      <c r="G25" s="72"/>
      <c r="H25" s="72" t="s">
        <v>34</v>
      </c>
      <c r="I25" s="129"/>
      <c r="J25" s="128"/>
      <c r="K25" s="83" t="s">
        <v>56</v>
      </c>
      <c r="L25" s="129">
        <v>7006</v>
      </c>
      <c r="M25" s="129">
        <v>6475</v>
      </c>
      <c r="N25" s="83">
        <f t="shared" si="3"/>
        <v>13481</v>
      </c>
      <c r="O25" s="76"/>
      <c r="P25" s="46"/>
      <c r="Q25" s="30"/>
      <c r="X25" s="21"/>
      <c r="Y25" s="21"/>
      <c r="Z25" s="21"/>
    </row>
    <row r="26" spans="1:26" ht="24.95" customHeight="1" x14ac:dyDescent="0.35">
      <c r="A26" s="42"/>
      <c r="B26" s="26"/>
      <c r="C26" s="43">
        <v>13</v>
      </c>
      <c r="D26" s="97" t="s">
        <v>41</v>
      </c>
      <c r="E26" s="45" t="s">
        <v>40</v>
      </c>
      <c r="F26" s="71" t="s">
        <v>34</v>
      </c>
      <c r="G26" s="72"/>
      <c r="H26" s="72"/>
      <c r="I26" s="129"/>
      <c r="J26" s="128"/>
      <c r="K26" s="83" t="s">
        <v>56</v>
      </c>
      <c r="L26" s="129">
        <v>26300</v>
      </c>
      <c r="M26" s="129">
        <v>17852</v>
      </c>
      <c r="N26" s="83">
        <f t="shared" si="3"/>
        <v>44152</v>
      </c>
      <c r="O26" s="76"/>
      <c r="P26" s="46"/>
      <c r="Q26" s="30"/>
      <c r="X26" s="21"/>
      <c r="Y26" s="21"/>
      <c r="Z26" s="21"/>
    </row>
    <row r="27" spans="1:26" ht="24.95" customHeight="1" x14ac:dyDescent="0.35">
      <c r="A27" s="42"/>
      <c r="B27" s="26"/>
      <c r="C27" s="45">
        <v>14</v>
      </c>
      <c r="D27" s="97" t="s">
        <v>59</v>
      </c>
      <c r="E27" s="45" t="s">
        <v>35</v>
      </c>
      <c r="F27" s="71" t="s">
        <v>34</v>
      </c>
      <c r="G27" s="72"/>
      <c r="H27" s="72"/>
      <c r="I27" s="129"/>
      <c r="J27" s="128"/>
      <c r="K27" s="83" t="s">
        <v>56</v>
      </c>
      <c r="L27" s="129">
        <v>17040</v>
      </c>
      <c r="M27" s="129">
        <v>12724</v>
      </c>
      <c r="N27" s="83">
        <f t="shared" si="3"/>
        <v>29764</v>
      </c>
      <c r="O27" s="76"/>
      <c r="P27" s="46"/>
      <c r="Q27" s="30"/>
      <c r="X27" s="21"/>
      <c r="Y27" s="21"/>
      <c r="Z27" s="21"/>
    </row>
    <row r="28" spans="1:26" ht="24.95" customHeight="1" x14ac:dyDescent="0.35">
      <c r="A28" s="42"/>
      <c r="B28" s="26"/>
      <c r="C28" s="43">
        <v>15</v>
      </c>
      <c r="D28" s="97" t="s">
        <v>42</v>
      </c>
      <c r="E28" s="45" t="s">
        <v>35</v>
      </c>
      <c r="F28" s="71" t="s">
        <v>34</v>
      </c>
      <c r="G28" s="72"/>
      <c r="H28" s="72"/>
      <c r="I28" s="129"/>
      <c r="J28" s="128"/>
      <c r="K28" s="83" t="s">
        <v>56</v>
      </c>
      <c r="L28" s="129">
        <v>46768</v>
      </c>
      <c r="M28" s="129">
        <v>31001</v>
      </c>
      <c r="N28" s="83">
        <f t="shared" si="3"/>
        <v>77769</v>
      </c>
      <c r="O28" s="76"/>
      <c r="P28" s="46"/>
      <c r="Q28" s="30"/>
      <c r="X28" s="21"/>
      <c r="Y28" s="21"/>
      <c r="Z28" s="21"/>
    </row>
    <row r="29" spans="1:26" ht="24.95" customHeight="1" x14ac:dyDescent="0.35">
      <c r="A29" s="42"/>
      <c r="B29" s="26"/>
      <c r="C29" s="45">
        <v>16</v>
      </c>
      <c r="D29" s="97" t="s">
        <v>60</v>
      </c>
      <c r="E29" s="45" t="s">
        <v>35</v>
      </c>
      <c r="F29" s="71"/>
      <c r="G29" s="72"/>
      <c r="H29" s="72" t="s">
        <v>34</v>
      </c>
      <c r="I29" s="129"/>
      <c r="J29" s="128"/>
      <c r="K29" s="83"/>
      <c r="L29" s="129">
        <v>16145</v>
      </c>
      <c r="M29" s="129">
        <v>10114</v>
      </c>
      <c r="N29" s="83">
        <f t="shared" si="3"/>
        <v>26259</v>
      </c>
      <c r="O29" s="76"/>
      <c r="P29" s="46"/>
      <c r="Q29" s="30"/>
      <c r="X29" s="21"/>
      <c r="Y29" s="21"/>
      <c r="Z29" s="21"/>
    </row>
    <row r="30" spans="1:26" ht="24.95" customHeight="1" x14ac:dyDescent="0.35">
      <c r="A30" s="42"/>
      <c r="B30" s="26"/>
      <c r="C30" s="43" t="s">
        <v>84</v>
      </c>
      <c r="D30" s="97" t="s">
        <v>85</v>
      </c>
      <c r="E30" s="45" t="s">
        <v>86</v>
      </c>
      <c r="F30" s="71" t="s">
        <v>34</v>
      </c>
      <c r="G30" s="72"/>
      <c r="H30" s="72"/>
      <c r="I30" s="129"/>
      <c r="J30" s="128"/>
      <c r="K30" s="83" t="s">
        <v>56</v>
      </c>
      <c r="L30" s="129">
        <v>3590</v>
      </c>
      <c r="M30" s="129">
        <v>4011</v>
      </c>
      <c r="N30" s="83">
        <f t="shared" si="3"/>
        <v>7601</v>
      </c>
      <c r="O30" s="76"/>
      <c r="P30" s="46"/>
      <c r="Q30" s="30"/>
      <c r="X30" s="21"/>
      <c r="Y30" s="21"/>
      <c r="Z30" s="21"/>
    </row>
    <row r="31" spans="1:26" ht="24.95" customHeight="1" x14ac:dyDescent="0.35">
      <c r="A31" s="42"/>
      <c r="B31" s="26"/>
      <c r="C31" s="45">
        <v>17</v>
      </c>
      <c r="D31" s="97" t="s">
        <v>68</v>
      </c>
      <c r="E31" s="45" t="s">
        <v>35</v>
      </c>
      <c r="F31" s="71" t="s">
        <v>34</v>
      </c>
      <c r="G31" s="72"/>
      <c r="H31" s="72" t="s">
        <v>34</v>
      </c>
      <c r="I31" s="129"/>
      <c r="J31" s="128"/>
      <c r="K31" s="83" t="s">
        <v>56</v>
      </c>
      <c r="L31" s="129">
        <v>61126</v>
      </c>
      <c r="M31" s="129">
        <v>39512</v>
      </c>
      <c r="N31" s="83">
        <v>100638</v>
      </c>
      <c r="O31" s="76"/>
      <c r="P31" s="46"/>
      <c r="Q31" s="30"/>
      <c r="X31" s="21"/>
      <c r="Y31" s="21"/>
      <c r="Z31" s="21"/>
    </row>
    <row r="32" spans="1:26" ht="24.95" customHeight="1" x14ac:dyDescent="0.35">
      <c r="A32" s="42"/>
      <c r="B32" s="26"/>
      <c r="C32" s="45"/>
      <c r="D32" s="97" t="s">
        <v>69</v>
      </c>
      <c r="E32" s="45" t="s">
        <v>35</v>
      </c>
      <c r="F32" s="71" t="s">
        <v>34</v>
      </c>
      <c r="G32" s="72"/>
      <c r="H32" s="72" t="s">
        <v>34</v>
      </c>
      <c r="I32" s="129"/>
      <c r="J32" s="129"/>
      <c r="K32" s="83" t="s">
        <v>56</v>
      </c>
      <c r="L32" s="136">
        <v>52559</v>
      </c>
      <c r="M32" s="133">
        <v>28321</v>
      </c>
      <c r="N32" s="83">
        <v>80880</v>
      </c>
      <c r="O32" s="76"/>
      <c r="P32" s="46"/>
      <c r="Q32" s="30"/>
      <c r="X32" s="21"/>
      <c r="Y32" s="21"/>
      <c r="Z32" s="21"/>
    </row>
    <row r="33" spans="1:26" ht="24.95" customHeight="1" x14ac:dyDescent="0.35">
      <c r="A33" s="42"/>
      <c r="B33" s="26"/>
      <c r="C33" s="45">
        <v>18</v>
      </c>
      <c r="D33" s="97" t="s">
        <v>44</v>
      </c>
      <c r="E33" s="45" t="s">
        <v>43</v>
      </c>
      <c r="F33" s="71" t="s">
        <v>34</v>
      </c>
      <c r="G33" s="72"/>
      <c r="H33" s="72"/>
      <c r="I33" s="129"/>
      <c r="J33" s="128"/>
      <c r="K33" s="83" t="s">
        <v>56</v>
      </c>
      <c r="L33" s="129">
        <v>62659</v>
      </c>
      <c r="M33" s="129">
        <v>35870</v>
      </c>
      <c r="N33" s="83">
        <v>98529</v>
      </c>
      <c r="O33" s="76"/>
      <c r="P33" s="46"/>
      <c r="Q33" s="30"/>
      <c r="X33" s="21"/>
      <c r="Y33" s="21"/>
      <c r="Z33" s="21"/>
    </row>
    <row r="34" spans="1:26" ht="24.95" customHeight="1" thickBot="1" x14ac:dyDescent="0.4">
      <c r="A34" s="42"/>
      <c r="B34" s="26"/>
      <c r="C34" s="45">
        <v>19</v>
      </c>
      <c r="D34" s="97" t="s">
        <v>61</v>
      </c>
      <c r="E34" s="45" t="s">
        <v>45</v>
      </c>
      <c r="F34" s="71" t="s">
        <v>34</v>
      </c>
      <c r="G34" s="72"/>
      <c r="H34" s="72"/>
      <c r="I34" s="129"/>
      <c r="J34" s="128"/>
      <c r="K34" s="83"/>
      <c r="L34" s="129">
        <v>17332</v>
      </c>
      <c r="M34" s="129">
        <v>12563</v>
      </c>
      <c r="N34" s="83">
        <v>29895</v>
      </c>
      <c r="O34" s="76"/>
      <c r="P34" s="46"/>
      <c r="Q34" s="30"/>
      <c r="X34" s="21"/>
      <c r="Y34" s="21"/>
      <c r="Z34" s="21"/>
    </row>
    <row r="35" spans="1:26" ht="24.95" customHeight="1" thickTop="1" thickBot="1" x14ac:dyDescent="0.4">
      <c r="A35" s="42"/>
      <c r="B35" s="26"/>
      <c r="C35" s="168" t="s">
        <v>26</v>
      </c>
      <c r="D35" s="169"/>
      <c r="E35" s="169"/>
      <c r="F35" s="169"/>
      <c r="G35" s="169"/>
      <c r="H35" s="170"/>
      <c r="I35" s="48">
        <f t="shared" ref="I35:N35" si="4">SUM(I11:I34)</f>
        <v>30610</v>
      </c>
      <c r="J35" s="48">
        <f t="shared" si="4"/>
        <v>18347.37</v>
      </c>
      <c r="K35" s="48">
        <f t="shared" si="4"/>
        <v>48957.37</v>
      </c>
      <c r="L35" s="48">
        <f t="shared" si="4"/>
        <v>623639</v>
      </c>
      <c r="M35" s="48">
        <f t="shared" si="4"/>
        <v>388056</v>
      </c>
      <c r="N35" s="48">
        <f t="shared" si="4"/>
        <v>1011695</v>
      </c>
      <c r="O35" s="48">
        <f t="shared" ref="O35:P35" si="5">SUM(O11:O34)</f>
        <v>0</v>
      </c>
      <c r="P35" s="48">
        <f t="shared" si="5"/>
        <v>0</v>
      </c>
      <c r="Q35" s="30"/>
      <c r="X35" s="21"/>
    </row>
    <row r="36" spans="1:26" ht="9" customHeight="1" x14ac:dyDescent="0.35">
      <c r="B36" s="26"/>
      <c r="C36" s="49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30"/>
      <c r="X36" s="21"/>
    </row>
    <row r="37" spans="1:26" ht="6.75" customHeight="1" thickBot="1" x14ac:dyDescent="0.4">
      <c r="B37" s="26"/>
      <c r="C37" s="49"/>
      <c r="D37" s="51"/>
      <c r="E37" s="51"/>
      <c r="F37" s="49"/>
      <c r="G37" s="49"/>
      <c r="H37" s="49"/>
      <c r="I37" s="49"/>
      <c r="J37" s="49"/>
      <c r="K37" s="49"/>
      <c r="L37" s="49"/>
      <c r="M37" s="49"/>
      <c r="N37" s="50"/>
      <c r="O37" s="49"/>
      <c r="P37" s="49"/>
      <c r="Q37" s="30"/>
      <c r="X37" s="21"/>
    </row>
    <row r="38" spans="1:26" ht="24" customHeight="1" x14ac:dyDescent="0.35">
      <c r="A38" s="151"/>
      <c r="B38" s="26"/>
      <c r="C38" s="52" t="s">
        <v>27</v>
      </c>
      <c r="D38" s="49"/>
      <c r="E38" s="49"/>
      <c r="F38" s="49"/>
      <c r="G38" s="49"/>
      <c r="H38" s="49"/>
      <c r="I38" s="49"/>
      <c r="J38" s="49"/>
      <c r="K38" s="49"/>
      <c r="L38" s="160"/>
      <c r="M38" s="161"/>
      <c r="N38" s="162"/>
      <c r="O38" s="162"/>
      <c r="P38" s="162"/>
      <c r="Q38" s="163"/>
    </row>
    <row r="39" spans="1:26" ht="24" customHeight="1" x14ac:dyDescent="0.35">
      <c r="A39" s="151"/>
      <c r="B39" s="26"/>
      <c r="C39" s="144"/>
      <c r="D39" s="144"/>
      <c r="E39" s="144"/>
      <c r="F39" s="144"/>
      <c r="G39" s="144"/>
      <c r="H39" s="144"/>
      <c r="I39" s="144"/>
      <c r="J39" s="144"/>
      <c r="K39" s="49"/>
      <c r="L39" s="164" t="s">
        <v>16</v>
      </c>
      <c r="M39" s="165"/>
      <c r="N39" s="166"/>
      <c r="O39" s="166"/>
      <c r="P39" s="166"/>
      <c r="Q39" s="167"/>
    </row>
    <row r="40" spans="1:26" ht="24" customHeight="1" x14ac:dyDescent="0.35">
      <c r="A40" s="151"/>
      <c r="B40" s="26"/>
      <c r="C40" s="144"/>
      <c r="D40" s="144"/>
      <c r="E40" s="144"/>
      <c r="F40" s="144"/>
      <c r="G40" s="144"/>
      <c r="H40" s="144"/>
      <c r="I40" s="144"/>
      <c r="J40" s="144"/>
      <c r="K40" s="49"/>
      <c r="L40" s="164" t="s">
        <v>3</v>
      </c>
      <c r="M40" s="165"/>
      <c r="N40" s="166"/>
      <c r="O40" s="166"/>
      <c r="P40" s="166"/>
      <c r="Q40" s="167"/>
    </row>
    <row r="41" spans="1:26" ht="24" customHeight="1" x14ac:dyDescent="0.35">
      <c r="A41" s="151"/>
      <c r="B41" s="26"/>
      <c r="C41" s="144"/>
      <c r="D41" s="144"/>
      <c r="E41" s="144"/>
      <c r="F41" s="144"/>
      <c r="G41" s="144"/>
      <c r="H41" s="144"/>
      <c r="I41" s="144"/>
      <c r="J41" s="144"/>
      <c r="K41" s="49"/>
      <c r="L41" s="145" t="s">
        <v>87</v>
      </c>
      <c r="M41" s="146"/>
      <c r="N41" s="147"/>
      <c r="O41" s="147"/>
      <c r="P41" s="147"/>
      <c r="Q41" s="148"/>
    </row>
    <row r="42" spans="1:26" ht="24" customHeight="1" x14ac:dyDescent="0.35">
      <c r="A42" s="151"/>
      <c r="B42" s="26"/>
      <c r="C42" s="144"/>
      <c r="D42" s="144"/>
      <c r="E42" s="144"/>
      <c r="F42" s="144"/>
      <c r="G42" s="144"/>
      <c r="H42" s="144"/>
      <c r="I42" s="144"/>
      <c r="J42" s="144"/>
      <c r="K42" s="49"/>
      <c r="L42" s="145" t="s">
        <v>51</v>
      </c>
      <c r="M42" s="146"/>
      <c r="N42" s="146"/>
      <c r="O42" s="146"/>
      <c r="P42" s="146"/>
      <c r="Q42" s="152"/>
    </row>
    <row r="43" spans="1:26" ht="24" customHeight="1" x14ac:dyDescent="0.35">
      <c r="A43" s="151"/>
      <c r="B43" s="26"/>
      <c r="C43" s="144"/>
      <c r="D43" s="144"/>
      <c r="E43" s="144"/>
      <c r="F43" s="144"/>
      <c r="G43" s="144"/>
      <c r="H43" s="144"/>
      <c r="I43" s="144"/>
      <c r="J43" s="144"/>
      <c r="K43" s="49"/>
      <c r="L43" s="145" t="s">
        <v>52</v>
      </c>
      <c r="M43" s="146"/>
      <c r="N43" s="146"/>
      <c r="O43" s="146"/>
      <c r="P43" s="146"/>
      <c r="Q43" s="152"/>
    </row>
    <row r="44" spans="1:26" ht="24" customHeight="1" x14ac:dyDescent="0.35">
      <c r="A44" s="151"/>
      <c r="B44" s="26"/>
      <c r="C44" s="144"/>
      <c r="D44" s="144"/>
      <c r="E44" s="144"/>
      <c r="F44" s="144"/>
      <c r="G44" s="144"/>
      <c r="H44" s="144"/>
      <c r="I44" s="144"/>
      <c r="J44" s="144"/>
      <c r="K44" s="49"/>
      <c r="L44" s="145" t="s">
        <v>53</v>
      </c>
      <c r="M44" s="146"/>
      <c r="N44" s="146"/>
      <c r="O44" s="146"/>
      <c r="P44" s="146"/>
      <c r="Q44" s="152"/>
    </row>
    <row r="45" spans="1:26" ht="24" customHeight="1" thickBot="1" x14ac:dyDescent="0.4">
      <c r="A45" s="151"/>
      <c r="B45" s="53" t="s">
        <v>19</v>
      </c>
      <c r="C45" s="54"/>
      <c r="D45" s="55"/>
      <c r="E45" s="55"/>
      <c r="F45" s="54"/>
      <c r="G45" s="54"/>
      <c r="H45" s="54"/>
      <c r="I45" s="54"/>
      <c r="J45" s="54"/>
      <c r="K45" s="56"/>
      <c r="L45" s="57" t="s">
        <v>32</v>
      </c>
      <c r="M45" s="57" t="s">
        <v>33</v>
      </c>
      <c r="N45" s="106">
        <v>19</v>
      </c>
      <c r="O45" s="58" t="s">
        <v>17</v>
      </c>
      <c r="P45" s="106">
        <v>22</v>
      </c>
      <c r="Q45" s="59"/>
    </row>
    <row r="50" spans="3:11" ht="34.5" x14ac:dyDescent="0.45">
      <c r="E50" s="60"/>
    </row>
    <row r="53" spans="3:11" ht="30" x14ac:dyDescent="0.4">
      <c r="C53" s="61"/>
      <c r="K53" s="62"/>
    </row>
    <row r="54" spans="3:11" x14ac:dyDescent="0.35">
      <c r="C54" s="21"/>
    </row>
    <row r="74" spans="7:15" ht="61.5" x14ac:dyDescent="0.85">
      <c r="G74" s="153"/>
      <c r="H74" s="153"/>
      <c r="I74" s="153"/>
      <c r="J74" s="153"/>
      <c r="K74" s="153"/>
      <c r="L74" s="153"/>
      <c r="M74" s="153"/>
      <c r="N74" s="153"/>
      <c r="O74" s="63"/>
    </row>
    <row r="75" spans="7:15" ht="33" x14ac:dyDescent="0.45">
      <c r="G75" s="64"/>
      <c r="H75" s="64"/>
      <c r="I75" s="64"/>
      <c r="J75" s="64"/>
      <c r="K75" s="64"/>
      <c r="L75" s="64"/>
      <c r="M75" s="64"/>
      <c r="N75" s="64"/>
      <c r="O75" s="64"/>
    </row>
    <row r="76" spans="7:15" ht="27.75" x14ac:dyDescent="0.4">
      <c r="G76" s="143"/>
      <c r="H76" s="143"/>
      <c r="I76" s="143"/>
      <c r="J76" s="143"/>
      <c r="K76" s="143"/>
      <c r="L76" s="143"/>
      <c r="M76" s="143"/>
      <c r="N76" s="143"/>
      <c r="O76" s="62"/>
    </row>
    <row r="77" spans="7:15" ht="27.75" x14ac:dyDescent="0.4">
      <c r="G77" s="143"/>
      <c r="H77" s="143"/>
      <c r="I77" s="143"/>
      <c r="J77" s="143"/>
      <c r="K77" s="143"/>
      <c r="L77" s="143"/>
      <c r="M77" s="143"/>
      <c r="N77" s="143"/>
      <c r="O77" s="62"/>
    </row>
    <row r="78" spans="7:15" ht="27.75" x14ac:dyDescent="0.4">
      <c r="G78" s="143"/>
      <c r="H78" s="143"/>
      <c r="I78" s="143"/>
      <c r="J78" s="143"/>
      <c r="K78" s="143"/>
      <c r="L78" s="143"/>
      <c r="M78" s="143"/>
      <c r="N78" s="143"/>
      <c r="O78" s="62"/>
    </row>
    <row r="79" spans="7:15" ht="27.75" x14ac:dyDescent="0.4">
      <c r="G79" s="143"/>
      <c r="H79" s="143"/>
      <c r="I79" s="143"/>
      <c r="J79" s="143"/>
      <c r="K79" s="143"/>
      <c r="L79" s="143"/>
      <c r="M79" s="143"/>
      <c r="N79" s="143"/>
      <c r="O79" s="62"/>
    </row>
    <row r="80" spans="7:15" ht="27.75" x14ac:dyDescent="0.4">
      <c r="G80" s="143"/>
      <c r="H80" s="143"/>
      <c r="I80" s="143"/>
      <c r="J80" s="143"/>
      <c r="K80" s="143"/>
      <c r="L80" s="143"/>
      <c r="M80" s="143"/>
      <c r="N80" s="143"/>
      <c r="O80" s="62"/>
    </row>
    <row r="81" spans="7:15" ht="27.75" x14ac:dyDescent="0.4">
      <c r="G81" s="143"/>
      <c r="H81" s="143"/>
      <c r="I81" s="143"/>
      <c r="J81" s="143"/>
      <c r="K81" s="143"/>
      <c r="L81" s="143"/>
      <c r="M81" s="143"/>
      <c r="N81" s="143"/>
      <c r="O81" s="62"/>
    </row>
    <row r="82" spans="7:15" x14ac:dyDescent="0.35">
      <c r="G82" s="65"/>
      <c r="H82" s="66"/>
      <c r="I82" s="66"/>
      <c r="J82" s="65"/>
      <c r="K82" s="65"/>
      <c r="L82" s="65"/>
      <c r="M82" s="65"/>
      <c r="N82" s="65"/>
      <c r="O82" s="65"/>
    </row>
    <row r="83" spans="7:15" x14ac:dyDescent="0.35">
      <c r="G83" s="67"/>
      <c r="H83" s="68"/>
      <c r="I83" s="68"/>
      <c r="J83" s="65"/>
      <c r="K83" s="65"/>
      <c r="L83" s="142"/>
      <c r="M83" s="142"/>
      <c r="N83" s="142"/>
      <c r="O83" s="69"/>
    </row>
  </sheetData>
  <sheetProtection formatCells="0" formatColumns="0" formatRows="0" insertColumns="0" insertRows="0" insertHyperlinks="0" deleteColumns="0" deleteRows="0" selectLockedCells="1" sort="0" autoFilter="0" pivotTables="0"/>
  <mergeCells count="42">
    <mergeCell ref="O5:P7"/>
    <mergeCell ref="F5:N5"/>
    <mergeCell ref="C4:P4"/>
    <mergeCell ref="A38:A41"/>
    <mergeCell ref="L38:Q38"/>
    <mergeCell ref="C39:J39"/>
    <mergeCell ref="L39:Q39"/>
    <mergeCell ref="C40:J40"/>
    <mergeCell ref="L40:Q40"/>
    <mergeCell ref="C35:H35"/>
    <mergeCell ref="F8:F10"/>
    <mergeCell ref="G8:G10"/>
    <mergeCell ref="H8:H10"/>
    <mergeCell ref="I8:I10"/>
    <mergeCell ref="J8:J10"/>
    <mergeCell ref="F6:H7"/>
    <mergeCell ref="A42:A43"/>
    <mergeCell ref="C42:J42"/>
    <mergeCell ref="L42:Q42"/>
    <mergeCell ref="C43:J43"/>
    <mergeCell ref="L43:Q43"/>
    <mergeCell ref="A44:A45"/>
    <mergeCell ref="C44:J44"/>
    <mergeCell ref="L44:Q44"/>
    <mergeCell ref="G74:N74"/>
    <mergeCell ref="G76:N76"/>
    <mergeCell ref="I6:K7"/>
    <mergeCell ref="L6:N7"/>
    <mergeCell ref="L83:N83"/>
    <mergeCell ref="G77:N77"/>
    <mergeCell ref="C41:J41"/>
    <mergeCell ref="L41:Q41"/>
    <mergeCell ref="P8:P10"/>
    <mergeCell ref="O8:O10"/>
    <mergeCell ref="N8:N10"/>
    <mergeCell ref="M8:M10"/>
    <mergeCell ref="L8:L10"/>
    <mergeCell ref="K8:K10"/>
    <mergeCell ref="G78:N78"/>
    <mergeCell ref="G79:N79"/>
    <mergeCell ref="G80:N80"/>
    <mergeCell ref="G81:N81"/>
  </mergeCells>
  <printOptions horizontalCentered="1" verticalCentered="1"/>
  <pageMargins left="0.25" right="0.25" top="0.75" bottom="0.75" header="0.3" footer="0.3"/>
  <pageSetup scale="48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pageSetUpPr fitToPage="1"/>
  </sheetPr>
  <dimension ref="A1:AA83"/>
  <sheetViews>
    <sheetView showGridLines="0" view="pageBreakPreview" topLeftCell="A10" zoomScale="50" zoomScaleNormal="50" zoomScaleSheetLayoutView="50" workbookViewId="0">
      <selection activeCell="D17" sqref="D17"/>
    </sheetView>
  </sheetViews>
  <sheetFormatPr defaultRowHeight="23.25" x14ac:dyDescent="0.35"/>
  <cols>
    <col min="1" max="1" width="6.140625" style="19" customWidth="1"/>
    <col min="2" max="2" width="3.28515625" style="19" customWidth="1"/>
    <col min="3" max="3" width="10.85546875" style="19" customWidth="1"/>
    <col min="4" max="4" width="37.7109375" style="20" customWidth="1"/>
    <col min="5" max="5" width="47.42578125" style="20" customWidth="1"/>
    <col min="6" max="6" width="19.5703125" style="19" customWidth="1"/>
    <col min="7" max="7" width="18.140625" style="19" customWidth="1"/>
    <col min="8" max="8" width="18.42578125" style="19" customWidth="1"/>
    <col min="9" max="13" width="14.7109375" style="19" customWidth="1"/>
    <col min="14" max="14" width="16.140625" style="20" bestFit="1" customWidth="1"/>
    <col min="15" max="16" width="14.7109375" style="19" customWidth="1"/>
    <col min="17" max="17" width="5" style="19" customWidth="1"/>
    <col min="18" max="18" width="3.7109375" style="19" customWidth="1"/>
    <col min="19" max="19" width="21.28515625" style="21" bestFit="1" customWidth="1"/>
    <col min="20" max="20" width="21.5703125" style="21" customWidth="1"/>
    <col min="21" max="21" width="19.5703125" style="21" customWidth="1"/>
    <col min="22" max="22" width="23.28515625" style="21" customWidth="1"/>
    <col min="23" max="23" width="28.42578125" style="21" customWidth="1"/>
    <col min="24" max="24" width="19.140625" style="19" customWidth="1"/>
    <col min="25" max="25" width="24.7109375" style="19" customWidth="1"/>
    <col min="26" max="26" width="19" style="19" customWidth="1"/>
    <col min="27" max="16384" width="9.140625" style="19"/>
  </cols>
  <sheetData>
    <row r="1" spans="1:27" ht="24" thickBot="1" x14ac:dyDescent="0.4"/>
    <row r="2" spans="1:27" ht="24" thickBot="1" x14ac:dyDescent="0.4">
      <c r="B2" s="22"/>
      <c r="C2" s="23"/>
      <c r="D2" s="24"/>
      <c r="E2" s="24"/>
      <c r="F2" s="23"/>
      <c r="G2" s="23"/>
      <c r="H2" s="23"/>
      <c r="I2" s="23"/>
      <c r="J2" s="23"/>
      <c r="K2" s="23"/>
      <c r="L2" s="23"/>
      <c r="M2" s="23"/>
      <c r="N2" s="24"/>
      <c r="O2" s="23"/>
      <c r="P2" s="23"/>
      <c r="Q2" s="25"/>
    </row>
    <row r="3" spans="1:27" x14ac:dyDescent="0.35">
      <c r="B3" s="26"/>
      <c r="C3" s="22"/>
      <c r="D3" s="24"/>
      <c r="E3" s="24"/>
      <c r="F3" s="23"/>
      <c r="G3" s="23"/>
      <c r="H3" s="23"/>
      <c r="I3" s="23"/>
      <c r="J3" s="23"/>
      <c r="K3" s="23"/>
      <c r="L3" s="23"/>
      <c r="M3" s="23"/>
      <c r="N3" s="24"/>
      <c r="O3" s="23"/>
      <c r="P3" s="25"/>
      <c r="Q3" s="27"/>
    </row>
    <row r="4" spans="1:27" ht="28.5" customHeight="1" thickBot="1" x14ac:dyDescent="0.45">
      <c r="B4" s="26"/>
      <c r="C4" s="157" t="s">
        <v>15</v>
      </c>
      <c r="D4" s="158"/>
      <c r="E4" s="158"/>
      <c r="F4" s="158"/>
      <c r="G4" s="158"/>
      <c r="H4" s="158"/>
      <c r="I4" s="158"/>
      <c r="J4" s="158"/>
      <c r="K4" s="158"/>
      <c r="L4" s="158"/>
      <c r="M4" s="158"/>
      <c r="N4" s="158"/>
      <c r="O4" s="158"/>
      <c r="P4" s="159"/>
      <c r="Q4" s="27"/>
    </row>
    <row r="5" spans="1:27" ht="21.75" customHeight="1" thickBot="1" x14ac:dyDescent="0.45">
      <c r="B5" s="26"/>
      <c r="C5" s="28"/>
      <c r="D5" s="29"/>
      <c r="E5" s="29"/>
      <c r="F5" s="155" t="s">
        <v>28</v>
      </c>
      <c r="G5" s="155"/>
      <c r="H5" s="155"/>
      <c r="I5" s="155"/>
      <c r="J5" s="155"/>
      <c r="K5" s="155"/>
      <c r="L5" s="155"/>
      <c r="M5" s="155"/>
      <c r="N5" s="156"/>
      <c r="O5" s="154" t="s">
        <v>4</v>
      </c>
      <c r="P5" s="154"/>
      <c r="Q5" s="30"/>
      <c r="T5" s="31"/>
      <c r="U5" s="31"/>
      <c r="V5" s="31"/>
      <c r="W5" s="31"/>
      <c r="X5" s="31"/>
      <c r="Y5" s="31"/>
      <c r="Z5" s="31"/>
    </row>
    <row r="6" spans="1:27" ht="21.75" customHeight="1" thickBot="1" x14ac:dyDescent="0.4">
      <c r="B6" s="26"/>
      <c r="C6" s="32"/>
      <c r="D6" s="33"/>
      <c r="E6" s="34"/>
      <c r="F6" s="140" t="s">
        <v>7</v>
      </c>
      <c r="G6" s="140"/>
      <c r="H6" s="140"/>
      <c r="I6" s="140" t="s">
        <v>8</v>
      </c>
      <c r="J6" s="140"/>
      <c r="K6" s="140"/>
      <c r="L6" s="140" t="s">
        <v>11</v>
      </c>
      <c r="M6" s="140"/>
      <c r="N6" s="141"/>
      <c r="O6" s="154"/>
      <c r="P6" s="154"/>
      <c r="Q6" s="30"/>
      <c r="T6" s="35"/>
      <c r="U6" s="35"/>
      <c r="V6" s="35"/>
      <c r="W6" s="35"/>
      <c r="X6" s="35"/>
      <c r="Y6" s="35"/>
      <c r="Z6" s="35"/>
    </row>
    <row r="7" spans="1:27" ht="24" thickBot="1" x14ac:dyDescent="0.4">
      <c r="B7" s="26"/>
      <c r="C7" s="36"/>
      <c r="D7" s="29"/>
      <c r="E7" s="37"/>
      <c r="F7" s="140"/>
      <c r="G7" s="140"/>
      <c r="H7" s="140"/>
      <c r="I7" s="140"/>
      <c r="J7" s="140"/>
      <c r="K7" s="140"/>
      <c r="L7" s="140"/>
      <c r="M7" s="140"/>
      <c r="N7" s="141"/>
      <c r="O7" s="154"/>
      <c r="P7" s="154"/>
      <c r="Q7" s="30"/>
      <c r="T7" s="35"/>
      <c r="U7" s="35"/>
      <c r="V7" s="35"/>
      <c r="W7" s="35"/>
      <c r="X7" s="35"/>
      <c r="Y7" s="35"/>
      <c r="Z7" s="35"/>
    </row>
    <row r="8" spans="1:27" ht="27.75" customHeight="1" thickBot="1" x14ac:dyDescent="0.4">
      <c r="B8" s="26"/>
      <c r="C8" s="36" t="s">
        <v>20</v>
      </c>
      <c r="D8" s="29" t="s">
        <v>21</v>
      </c>
      <c r="E8" s="37" t="s">
        <v>22</v>
      </c>
      <c r="F8" s="154" t="s">
        <v>5</v>
      </c>
      <c r="G8" s="154" t="s">
        <v>12</v>
      </c>
      <c r="H8" s="154" t="s">
        <v>6</v>
      </c>
      <c r="I8" s="149" t="s">
        <v>29</v>
      </c>
      <c r="J8" s="149" t="s">
        <v>30</v>
      </c>
      <c r="K8" s="149" t="s">
        <v>31</v>
      </c>
      <c r="L8" s="149" t="s">
        <v>29</v>
      </c>
      <c r="M8" s="149" t="s">
        <v>30</v>
      </c>
      <c r="N8" s="150" t="s">
        <v>31</v>
      </c>
      <c r="O8" s="149" t="s">
        <v>29</v>
      </c>
      <c r="P8" s="149" t="s">
        <v>30</v>
      </c>
      <c r="Q8" s="30"/>
      <c r="T8" s="35"/>
      <c r="U8" s="35"/>
      <c r="V8" s="35"/>
      <c r="W8" s="35"/>
      <c r="X8" s="35"/>
      <c r="Y8" s="35"/>
      <c r="Z8" s="35"/>
    </row>
    <row r="9" spans="1:27" ht="23.25" customHeight="1" thickBot="1" x14ac:dyDescent="0.4">
      <c r="B9" s="26"/>
      <c r="C9" s="36" t="s">
        <v>23</v>
      </c>
      <c r="D9" s="29" t="s">
        <v>24</v>
      </c>
      <c r="E9" s="37" t="s">
        <v>25</v>
      </c>
      <c r="F9" s="154"/>
      <c r="G9" s="154"/>
      <c r="H9" s="154"/>
      <c r="I9" s="149"/>
      <c r="J9" s="149"/>
      <c r="K9" s="149"/>
      <c r="L9" s="149"/>
      <c r="M9" s="149"/>
      <c r="N9" s="150"/>
      <c r="O9" s="149"/>
      <c r="P9" s="149"/>
      <c r="Q9" s="30"/>
      <c r="T9" s="35"/>
      <c r="U9" s="35"/>
      <c r="V9" s="35"/>
      <c r="W9" s="35"/>
      <c r="X9" s="35"/>
      <c r="Y9" s="35"/>
      <c r="Z9" s="35"/>
    </row>
    <row r="10" spans="1:27" ht="24" thickBot="1" x14ac:dyDescent="0.4">
      <c r="B10" s="26"/>
      <c r="C10" s="38"/>
      <c r="D10" s="39"/>
      <c r="E10" s="40"/>
      <c r="F10" s="154"/>
      <c r="G10" s="154"/>
      <c r="H10" s="154"/>
      <c r="I10" s="149"/>
      <c r="J10" s="149"/>
      <c r="K10" s="149"/>
      <c r="L10" s="149"/>
      <c r="M10" s="149"/>
      <c r="N10" s="150"/>
      <c r="O10" s="149"/>
      <c r="P10" s="149"/>
      <c r="Q10" s="30"/>
      <c r="T10" s="35"/>
      <c r="U10" s="35"/>
      <c r="V10" s="35"/>
      <c r="W10" s="35"/>
      <c r="X10" s="35"/>
      <c r="Y10" s="35"/>
      <c r="Z10" s="35"/>
      <c r="AA10" s="41"/>
    </row>
    <row r="11" spans="1:27" ht="24.95" customHeight="1" x14ac:dyDescent="0.35">
      <c r="A11" s="42"/>
      <c r="B11" s="26"/>
      <c r="C11" s="45">
        <v>20</v>
      </c>
      <c r="D11" s="96" t="s">
        <v>46</v>
      </c>
      <c r="E11" s="45" t="s">
        <v>83</v>
      </c>
      <c r="F11" s="71" t="s">
        <v>34</v>
      </c>
      <c r="G11" s="72"/>
      <c r="H11" s="72"/>
      <c r="I11" s="72"/>
      <c r="J11" s="72"/>
      <c r="K11" s="83"/>
      <c r="L11" s="129">
        <v>22902</v>
      </c>
      <c r="M11" s="129">
        <v>13676</v>
      </c>
      <c r="N11" s="85">
        <v>36578</v>
      </c>
      <c r="O11" s="77"/>
      <c r="P11" s="46"/>
      <c r="Q11" s="30"/>
      <c r="X11" s="21"/>
      <c r="Y11" s="21"/>
      <c r="Z11" s="21"/>
    </row>
    <row r="12" spans="1:27" ht="24.95" customHeight="1" x14ac:dyDescent="0.35">
      <c r="A12" s="42"/>
      <c r="B12" s="26"/>
      <c r="C12" s="45">
        <v>21</v>
      </c>
      <c r="D12" s="96" t="s">
        <v>62</v>
      </c>
      <c r="E12" s="45" t="s">
        <v>45</v>
      </c>
      <c r="F12" s="71"/>
      <c r="G12" s="72"/>
      <c r="H12" s="72" t="s">
        <v>34</v>
      </c>
      <c r="I12" s="72"/>
      <c r="J12" s="72"/>
      <c r="K12" s="83"/>
      <c r="L12" s="129">
        <v>1087</v>
      </c>
      <c r="M12" s="129">
        <v>1181</v>
      </c>
      <c r="N12" s="85">
        <v>2268</v>
      </c>
      <c r="O12" s="77"/>
      <c r="P12" s="46"/>
      <c r="Q12" s="30"/>
      <c r="X12" s="21"/>
      <c r="Y12" s="21"/>
      <c r="Z12" s="21"/>
    </row>
    <row r="13" spans="1:27" ht="24.95" customHeight="1" x14ac:dyDescent="0.35">
      <c r="A13" s="42"/>
      <c r="B13" s="26"/>
      <c r="C13" s="45">
        <v>22</v>
      </c>
      <c r="D13" s="96" t="s">
        <v>49</v>
      </c>
      <c r="E13" s="45" t="s">
        <v>48</v>
      </c>
      <c r="F13" s="71" t="s">
        <v>34</v>
      </c>
      <c r="G13" s="72"/>
      <c r="H13" s="72"/>
      <c r="I13" s="72"/>
      <c r="J13" s="72"/>
      <c r="K13" s="83"/>
      <c r="L13" s="129">
        <v>13000</v>
      </c>
      <c r="M13" s="129">
        <v>9300</v>
      </c>
      <c r="N13" s="85">
        <v>22300</v>
      </c>
      <c r="O13" s="77"/>
      <c r="P13" s="46"/>
      <c r="Q13" s="30"/>
      <c r="X13" s="21"/>
      <c r="Y13" s="21"/>
      <c r="Z13" s="21"/>
    </row>
    <row r="14" spans="1:27" ht="24.95" customHeight="1" x14ac:dyDescent="0.35">
      <c r="A14" s="42"/>
      <c r="B14" s="26"/>
      <c r="C14" s="45">
        <v>23</v>
      </c>
      <c r="D14" s="96" t="s">
        <v>64</v>
      </c>
      <c r="E14" s="45" t="s">
        <v>40</v>
      </c>
      <c r="F14" s="71" t="s">
        <v>34</v>
      </c>
      <c r="G14" s="72"/>
      <c r="H14" s="72"/>
      <c r="I14" s="72"/>
      <c r="J14" s="81"/>
      <c r="K14" s="83"/>
      <c r="L14" s="129">
        <v>17568</v>
      </c>
      <c r="M14" s="129">
        <v>9279</v>
      </c>
      <c r="N14" s="85">
        <v>26847</v>
      </c>
      <c r="O14" s="76"/>
      <c r="P14" s="46"/>
      <c r="Q14" s="30"/>
      <c r="X14" s="21"/>
      <c r="Y14" s="21"/>
      <c r="Z14" s="21"/>
    </row>
    <row r="15" spans="1:27" ht="24.95" customHeight="1" x14ac:dyDescent="0.35">
      <c r="A15" s="42"/>
      <c r="B15" s="26"/>
      <c r="C15" s="45">
        <v>24</v>
      </c>
      <c r="D15" s="97" t="s">
        <v>63</v>
      </c>
      <c r="E15" s="45" t="s">
        <v>50</v>
      </c>
      <c r="F15" s="71" t="s">
        <v>34</v>
      </c>
      <c r="G15" s="72"/>
      <c r="H15" s="72"/>
      <c r="I15" s="72"/>
      <c r="J15" s="81"/>
      <c r="K15" s="83"/>
      <c r="L15" s="129">
        <v>8416</v>
      </c>
      <c r="M15" s="129">
        <v>5987</v>
      </c>
      <c r="N15" s="85">
        <v>14403</v>
      </c>
      <c r="O15" s="76"/>
      <c r="P15" s="46"/>
      <c r="Q15" s="30"/>
      <c r="X15" s="21"/>
      <c r="Y15" s="21"/>
      <c r="Z15" s="21"/>
    </row>
    <row r="16" spans="1:27" ht="24.95" customHeight="1" x14ac:dyDescent="0.35">
      <c r="A16" s="42"/>
      <c r="B16" s="26"/>
      <c r="C16" s="45">
        <v>25</v>
      </c>
      <c r="D16" s="96" t="s">
        <v>67</v>
      </c>
      <c r="E16" s="45" t="s">
        <v>35</v>
      </c>
      <c r="F16" s="71"/>
      <c r="G16" s="72"/>
      <c r="H16" s="72" t="s">
        <v>34</v>
      </c>
      <c r="I16" s="72"/>
      <c r="J16" s="81"/>
      <c r="K16" s="83"/>
      <c r="L16" s="129">
        <v>4877</v>
      </c>
      <c r="M16" s="129">
        <v>2282</v>
      </c>
      <c r="N16" s="85">
        <v>7159</v>
      </c>
      <c r="O16" s="76"/>
      <c r="P16" s="46"/>
      <c r="Q16" s="30"/>
      <c r="S16" s="19"/>
      <c r="T16" s="19"/>
      <c r="X16" s="21"/>
      <c r="Y16" s="21"/>
      <c r="Z16" s="21"/>
    </row>
    <row r="17" spans="1:26" ht="24.95" customHeight="1" x14ac:dyDescent="0.35">
      <c r="A17" s="42"/>
      <c r="B17" s="26"/>
      <c r="C17" s="45">
        <v>26</v>
      </c>
      <c r="D17" s="115" t="s">
        <v>70</v>
      </c>
      <c r="E17" s="115" t="s">
        <v>71</v>
      </c>
      <c r="F17" s="71"/>
      <c r="G17" s="72"/>
      <c r="H17" s="72"/>
      <c r="I17" s="72"/>
      <c r="J17" s="81"/>
      <c r="K17" s="83"/>
      <c r="L17" s="129"/>
      <c r="M17" s="130"/>
      <c r="N17" s="85"/>
      <c r="O17" s="78"/>
      <c r="P17" s="47"/>
      <c r="Q17" s="30"/>
      <c r="X17" s="21"/>
      <c r="Y17" s="21"/>
      <c r="Z17" s="21"/>
    </row>
    <row r="18" spans="1:26" ht="24.95" customHeight="1" x14ac:dyDescent="0.35">
      <c r="A18" s="42"/>
      <c r="B18" s="26"/>
      <c r="C18" s="45"/>
      <c r="D18" s="96"/>
      <c r="E18" s="45"/>
      <c r="F18" s="71"/>
      <c r="G18" s="72"/>
      <c r="H18" s="72"/>
      <c r="I18" s="72"/>
      <c r="J18" s="81"/>
      <c r="K18" s="83"/>
      <c r="L18" s="129"/>
      <c r="M18" s="130"/>
      <c r="N18" s="86"/>
      <c r="O18" s="78"/>
      <c r="P18" s="47"/>
      <c r="Q18" s="30"/>
      <c r="X18" s="21"/>
      <c r="Y18" s="21"/>
      <c r="Z18" s="21"/>
    </row>
    <row r="19" spans="1:26" ht="24.95" customHeight="1" x14ac:dyDescent="0.35">
      <c r="A19" s="42"/>
      <c r="B19" s="26"/>
      <c r="C19" s="45"/>
      <c r="D19" s="96"/>
      <c r="E19" s="45"/>
      <c r="F19" s="71"/>
      <c r="G19" s="72"/>
      <c r="H19" s="72"/>
      <c r="I19" s="72"/>
      <c r="J19" s="81"/>
      <c r="K19" s="83"/>
      <c r="L19" s="128" t="str">
        <f>IF(J19+K19&lt;=0,"",J19+K19)</f>
        <v/>
      </c>
      <c r="M19" s="129"/>
      <c r="N19" s="85"/>
      <c r="O19" s="76"/>
      <c r="P19" s="46"/>
      <c r="Q19" s="30"/>
      <c r="X19" s="21"/>
      <c r="Y19" s="21"/>
      <c r="Z19" s="21"/>
    </row>
    <row r="20" spans="1:26" ht="24.95" customHeight="1" x14ac:dyDescent="0.35">
      <c r="A20" s="42"/>
      <c r="B20" s="26"/>
      <c r="C20" s="45"/>
      <c r="D20" s="96"/>
      <c r="E20" s="45"/>
      <c r="F20" s="71"/>
      <c r="G20" s="72"/>
      <c r="H20" s="72"/>
      <c r="I20" s="72"/>
      <c r="J20" s="81"/>
      <c r="K20" s="83"/>
      <c r="L20" s="129"/>
      <c r="M20" s="130"/>
      <c r="N20" s="86"/>
      <c r="O20" s="78"/>
      <c r="P20" s="47"/>
      <c r="Q20" s="30"/>
      <c r="X20" s="21"/>
      <c r="Y20" s="21"/>
      <c r="Z20" s="21"/>
    </row>
    <row r="21" spans="1:26" ht="24.95" customHeight="1" x14ac:dyDescent="0.35">
      <c r="A21" s="42"/>
      <c r="B21" s="26"/>
      <c r="C21" s="45"/>
      <c r="D21" s="96"/>
      <c r="E21" s="45"/>
      <c r="F21" s="71"/>
      <c r="G21" s="72"/>
      <c r="H21" s="72"/>
      <c r="I21" s="72"/>
      <c r="J21" s="81"/>
      <c r="K21" s="83"/>
      <c r="L21" s="129"/>
      <c r="M21" s="129"/>
      <c r="N21" s="85"/>
      <c r="O21" s="76"/>
      <c r="P21" s="46"/>
      <c r="Q21" s="30"/>
      <c r="X21" s="21"/>
      <c r="Y21" s="21"/>
      <c r="Z21" s="29"/>
    </row>
    <row r="22" spans="1:26" ht="24.95" customHeight="1" x14ac:dyDescent="0.35">
      <c r="A22" s="42"/>
      <c r="B22" s="26"/>
      <c r="C22" s="45"/>
      <c r="D22" s="97"/>
      <c r="E22" s="99"/>
      <c r="F22" s="71"/>
      <c r="G22" s="72"/>
      <c r="H22" s="72"/>
      <c r="I22" s="72"/>
      <c r="J22" s="81"/>
      <c r="K22" s="83"/>
      <c r="L22" s="72"/>
      <c r="M22" s="72"/>
      <c r="N22" s="85"/>
      <c r="O22" s="76"/>
      <c r="P22" s="46"/>
      <c r="Q22" s="30"/>
      <c r="X22" s="21"/>
      <c r="Y22" s="21"/>
      <c r="Z22" s="29"/>
    </row>
    <row r="23" spans="1:26" ht="24.95" customHeight="1" x14ac:dyDescent="0.35">
      <c r="A23" s="42"/>
      <c r="B23" s="26"/>
      <c r="C23" s="45"/>
      <c r="D23" s="97"/>
      <c r="E23" s="45"/>
      <c r="F23" s="71"/>
      <c r="G23" s="72"/>
      <c r="H23" s="72"/>
      <c r="I23" s="72"/>
      <c r="J23" s="81"/>
      <c r="K23" s="83" t="str">
        <f t="shared" ref="K23:K34" si="0">IF(I23+J23&lt;=0,"",I23+J23)</f>
        <v/>
      </c>
      <c r="L23" s="72"/>
      <c r="M23" s="72"/>
      <c r="N23" s="85"/>
      <c r="O23" s="76"/>
      <c r="P23" s="46"/>
      <c r="Q23" s="30"/>
      <c r="X23" s="21"/>
      <c r="Y23" s="21"/>
      <c r="Z23" s="29"/>
    </row>
    <row r="24" spans="1:26" ht="24.95" customHeight="1" x14ac:dyDescent="0.35">
      <c r="A24" s="42"/>
      <c r="B24" s="26"/>
      <c r="C24" s="45"/>
      <c r="D24" s="97"/>
      <c r="E24" s="45"/>
      <c r="F24" s="71"/>
      <c r="G24" s="72"/>
      <c r="H24" s="72"/>
      <c r="I24" s="72"/>
      <c r="J24" s="81"/>
      <c r="K24" s="83" t="str">
        <f t="shared" si="0"/>
        <v/>
      </c>
      <c r="L24" s="72"/>
      <c r="M24" s="72"/>
      <c r="N24" s="85"/>
      <c r="O24" s="76"/>
      <c r="P24" s="46"/>
      <c r="Q24" s="30"/>
      <c r="X24" s="21"/>
      <c r="Y24" s="21"/>
      <c r="Z24" s="29"/>
    </row>
    <row r="25" spans="1:26" ht="24.95" customHeight="1" x14ac:dyDescent="0.35">
      <c r="A25" s="42"/>
      <c r="B25" s="26"/>
      <c r="C25" s="45"/>
      <c r="D25" s="97"/>
      <c r="E25" s="45"/>
      <c r="F25" s="71"/>
      <c r="G25" s="72"/>
      <c r="H25" s="72"/>
      <c r="I25" s="72"/>
      <c r="J25" s="81"/>
      <c r="K25" s="83" t="str">
        <f t="shared" si="0"/>
        <v/>
      </c>
      <c r="L25" s="72"/>
      <c r="M25" s="72"/>
      <c r="N25" s="85"/>
      <c r="O25" s="76"/>
      <c r="P25" s="46"/>
      <c r="Q25" s="30"/>
      <c r="X25" s="21"/>
      <c r="Y25" s="21"/>
      <c r="Z25" s="21"/>
    </row>
    <row r="26" spans="1:26" ht="24.95" customHeight="1" x14ac:dyDescent="0.35">
      <c r="A26" s="42"/>
      <c r="B26" s="26"/>
      <c r="C26" s="45"/>
      <c r="D26" s="97"/>
      <c r="E26" s="45"/>
      <c r="F26" s="71"/>
      <c r="G26" s="72"/>
      <c r="H26" s="72"/>
      <c r="I26" s="72"/>
      <c r="J26" s="81"/>
      <c r="K26" s="83" t="str">
        <f t="shared" si="0"/>
        <v/>
      </c>
      <c r="L26" s="72"/>
      <c r="M26" s="72"/>
      <c r="N26" s="85"/>
      <c r="O26" s="76"/>
      <c r="P26" s="46"/>
      <c r="Q26" s="30"/>
      <c r="X26" s="21"/>
      <c r="Y26" s="21"/>
      <c r="Z26" s="21"/>
    </row>
    <row r="27" spans="1:26" ht="24.95" customHeight="1" x14ac:dyDescent="0.35">
      <c r="A27" s="42"/>
      <c r="B27" s="26"/>
      <c r="C27" s="45"/>
      <c r="D27" s="97"/>
      <c r="E27" s="45"/>
      <c r="F27" s="71"/>
      <c r="G27" s="72"/>
      <c r="H27" s="72"/>
      <c r="I27" s="72"/>
      <c r="J27" s="81"/>
      <c r="K27" s="83" t="str">
        <f t="shared" si="0"/>
        <v/>
      </c>
      <c r="L27" s="72"/>
      <c r="M27" s="72"/>
      <c r="N27" s="85"/>
      <c r="O27" s="76"/>
      <c r="P27" s="46"/>
      <c r="Q27" s="30"/>
      <c r="X27" s="21"/>
      <c r="Y27" s="21"/>
      <c r="Z27" s="21"/>
    </row>
    <row r="28" spans="1:26" ht="24.95" customHeight="1" x14ac:dyDescent="0.35">
      <c r="A28" s="42"/>
      <c r="B28" s="26"/>
      <c r="C28" s="45"/>
      <c r="D28" s="97"/>
      <c r="E28" s="45"/>
      <c r="F28" s="71"/>
      <c r="G28" s="72"/>
      <c r="H28" s="72"/>
      <c r="I28" s="72"/>
      <c r="J28" s="81"/>
      <c r="K28" s="83" t="str">
        <f t="shared" si="0"/>
        <v/>
      </c>
      <c r="L28" s="72"/>
      <c r="M28" s="72"/>
      <c r="N28" s="85"/>
      <c r="O28" s="76"/>
      <c r="P28" s="46"/>
      <c r="Q28" s="30"/>
      <c r="X28" s="21"/>
      <c r="Y28" s="21"/>
      <c r="Z28" s="21"/>
    </row>
    <row r="29" spans="1:26" ht="24.95" customHeight="1" x14ac:dyDescent="0.35">
      <c r="A29" s="42"/>
      <c r="B29" s="26"/>
      <c r="C29" s="45"/>
      <c r="D29" s="97"/>
      <c r="E29" s="45"/>
      <c r="F29" s="71"/>
      <c r="G29" s="72"/>
      <c r="H29" s="72"/>
      <c r="I29" s="72"/>
      <c r="J29" s="81"/>
      <c r="K29" s="83" t="str">
        <f t="shared" si="0"/>
        <v/>
      </c>
      <c r="L29" s="72"/>
      <c r="M29" s="72"/>
      <c r="N29" s="85"/>
      <c r="O29" s="76"/>
      <c r="P29" s="46"/>
      <c r="Q29" s="30"/>
      <c r="X29" s="21"/>
      <c r="Y29" s="21"/>
      <c r="Z29" s="21"/>
    </row>
    <row r="30" spans="1:26" ht="24.95" customHeight="1" x14ac:dyDescent="0.35">
      <c r="A30" s="42"/>
      <c r="B30" s="26"/>
      <c r="C30" s="45"/>
      <c r="D30" s="97"/>
      <c r="E30" s="45"/>
      <c r="F30" s="71"/>
      <c r="G30" s="72"/>
      <c r="H30" s="72"/>
      <c r="I30" s="72"/>
      <c r="J30" s="81"/>
      <c r="K30" s="83" t="str">
        <f t="shared" si="0"/>
        <v/>
      </c>
      <c r="L30" s="72"/>
      <c r="M30" s="72"/>
      <c r="N30" s="85"/>
      <c r="O30" s="76"/>
      <c r="P30" s="46"/>
      <c r="Q30" s="30"/>
      <c r="X30" s="21"/>
      <c r="Y30" s="21"/>
      <c r="Z30" s="21"/>
    </row>
    <row r="31" spans="1:26" ht="24.95" customHeight="1" x14ac:dyDescent="0.35">
      <c r="A31" s="42"/>
      <c r="B31" s="26"/>
      <c r="C31" s="45"/>
      <c r="D31" s="97"/>
      <c r="E31" s="102" t="s">
        <v>54</v>
      </c>
      <c r="F31" s="71"/>
      <c r="G31" s="72"/>
      <c r="H31" s="72"/>
      <c r="I31" s="103">
        <f>SUM(I11:I30)</f>
        <v>0</v>
      </c>
      <c r="J31" s="83">
        <f>SUM(J11:J30)</f>
        <v>0</v>
      </c>
      <c r="K31" s="83">
        <f>SUM(K11:K30)</f>
        <v>0</v>
      </c>
      <c r="L31" s="103">
        <f>SUM(L1:L30)</f>
        <v>67850</v>
      </c>
      <c r="M31" s="103">
        <f>SUM(M11:M30)</f>
        <v>41705</v>
      </c>
      <c r="N31" s="85">
        <f>SUM(N11:N30)</f>
        <v>109555</v>
      </c>
      <c r="O31" s="104">
        <f t="shared" ref="O31:P31" si="1">SUM(O7:O30)</f>
        <v>0</v>
      </c>
      <c r="P31" s="105">
        <f t="shared" si="1"/>
        <v>0</v>
      </c>
      <c r="Q31" s="30"/>
      <c r="X31" s="21"/>
      <c r="Y31" s="21"/>
      <c r="Z31" s="21"/>
    </row>
    <row r="32" spans="1:26" ht="24.95" customHeight="1" x14ac:dyDescent="0.35">
      <c r="A32" s="42"/>
      <c r="B32" s="26"/>
      <c r="C32" s="45"/>
      <c r="D32" s="97"/>
      <c r="E32" s="45"/>
      <c r="F32" s="71"/>
      <c r="G32" s="72"/>
      <c r="H32" s="72"/>
      <c r="I32" s="72"/>
      <c r="J32" s="81"/>
      <c r="K32" s="83" t="str">
        <f t="shared" si="0"/>
        <v/>
      </c>
      <c r="L32" s="72"/>
      <c r="M32" s="72"/>
      <c r="N32" s="85"/>
      <c r="O32" s="76"/>
      <c r="P32" s="46"/>
      <c r="Q32" s="30"/>
      <c r="X32" s="21"/>
      <c r="Y32" s="21"/>
      <c r="Z32" s="21"/>
    </row>
    <row r="33" spans="1:26" ht="24.95" customHeight="1" x14ac:dyDescent="0.35">
      <c r="A33" s="42"/>
      <c r="B33" s="26"/>
      <c r="C33" s="45"/>
      <c r="D33" s="101"/>
      <c r="E33" s="102" t="s">
        <v>66</v>
      </c>
      <c r="F33" s="71"/>
      <c r="G33" s="72"/>
      <c r="H33" s="72"/>
      <c r="I33" s="103">
        <f>'RIPARIAN BUFFER IMPACTS SUMMARY'!I35</f>
        <v>30610</v>
      </c>
      <c r="J33" s="83">
        <f>'RIPARIAN BUFFER IMPACTS SUMMARY'!J35</f>
        <v>18347.37</v>
      </c>
      <c r="K33" s="83">
        <f>'RIPARIAN BUFFER IMPACTS SUMMARY'!K35</f>
        <v>48957.37</v>
      </c>
      <c r="L33" s="103">
        <f>'RIPARIAN BUFFER IMPACTS SUMMARY'!L35</f>
        <v>623639</v>
      </c>
      <c r="M33" s="103">
        <f>'RIPARIAN BUFFER IMPACTS SUMMARY'!M35</f>
        <v>388056</v>
      </c>
      <c r="N33" s="85">
        <f>'RIPARIAN BUFFER IMPACTS SUMMARY'!N35</f>
        <v>1011695</v>
      </c>
      <c r="O33" s="104">
        <f>'RIPARIAN BUFFER IMPACTS SUMMARY'!O35</f>
        <v>0</v>
      </c>
      <c r="P33" s="105">
        <f>'RIPARIAN BUFFER IMPACTS SUMMARY'!P35</f>
        <v>0</v>
      </c>
      <c r="Q33" s="30"/>
      <c r="X33" s="21"/>
      <c r="Y33" s="21"/>
      <c r="Z33" s="21"/>
    </row>
    <row r="34" spans="1:26" ht="24.95" customHeight="1" thickBot="1" x14ac:dyDescent="0.4">
      <c r="A34" s="42"/>
      <c r="B34" s="26"/>
      <c r="C34" s="70"/>
      <c r="D34" s="98"/>
      <c r="E34" s="70"/>
      <c r="F34" s="73"/>
      <c r="G34" s="74"/>
      <c r="H34" s="75"/>
      <c r="I34" s="75"/>
      <c r="J34" s="82"/>
      <c r="K34" s="84" t="str">
        <f t="shared" si="0"/>
        <v/>
      </c>
      <c r="L34" s="75"/>
      <c r="M34" s="75"/>
      <c r="N34" s="86"/>
      <c r="O34" s="79"/>
      <c r="P34" s="80"/>
      <c r="Q34" s="30"/>
      <c r="X34" s="21"/>
      <c r="Y34" s="21"/>
      <c r="Z34" s="21"/>
    </row>
    <row r="35" spans="1:26" ht="24.95" customHeight="1" thickTop="1" thickBot="1" x14ac:dyDescent="0.4">
      <c r="A35" s="42"/>
      <c r="B35" s="26"/>
      <c r="C35" s="168" t="s">
        <v>26</v>
      </c>
      <c r="D35" s="169"/>
      <c r="E35" s="169"/>
      <c r="F35" s="169"/>
      <c r="G35" s="169"/>
      <c r="H35" s="170"/>
      <c r="I35" s="48">
        <f t="shared" ref="I35:N35" si="2">SUM(I31:I34)</f>
        <v>30610</v>
      </c>
      <c r="J35" s="48">
        <f t="shared" si="2"/>
        <v>18347.37</v>
      </c>
      <c r="K35" s="48">
        <f t="shared" si="2"/>
        <v>48957.37</v>
      </c>
      <c r="L35" s="48">
        <f t="shared" si="2"/>
        <v>691489</v>
      </c>
      <c r="M35" s="48">
        <f t="shared" si="2"/>
        <v>429761</v>
      </c>
      <c r="N35" s="48">
        <f t="shared" si="2"/>
        <v>1121250</v>
      </c>
      <c r="O35" s="48">
        <f t="shared" ref="O35:P35" si="3">SUM(O11:O34)</f>
        <v>0</v>
      </c>
      <c r="P35" s="48">
        <f t="shared" si="3"/>
        <v>0</v>
      </c>
      <c r="Q35" s="30"/>
      <c r="X35" s="21"/>
    </row>
    <row r="36" spans="1:26" ht="9" customHeight="1" x14ac:dyDescent="0.35">
      <c r="B36" s="26"/>
      <c r="C36" s="49"/>
      <c r="D36" s="50"/>
      <c r="E36" s="50"/>
      <c r="F36" s="50"/>
      <c r="G36" s="50"/>
      <c r="H36" s="50"/>
      <c r="I36" s="50"/>
      <c r="J36" s="50"/>
      <c r="K36" s="50"/>
      <c r="L36" s="50"/>
      <c r="M36" s="50"/>
      <c r="N36" s="50"/>
      <c r="O36" s="50"/>
      <c r="P36" s="50"/>
      <c r="Q36" s="30"/>
      <c r="X36" s="21"/>
    </row>
    <row r="37" spans="1:26" ht="6.75" customHeight="1" thickBot="1" x14ac:dyDescent="0.4">
      <c r="B37" s="26"/>
      <c r="C37" s="49"/>
      <c r="D37" s="51"/>
      <c r="E37" s="51"/>
      <c r="F37" s="49"/>
      <c r="G37" s="49"/>
      <c r="H37" s="49"/>
      <c r="I37" s="49"/>
      <c r="J37" s="49"/>
      <c r="K37" s="49"/>
      <c r="L37" s="49"/>
      <c r="M37" s="49"/>
      <c r="N37" s="50"/>
      <c r="O37" s="49"/>
      <c r="P37" s="49"/>
      <c r="Q37" s="30"/>
      <c r="X37" s="21"/>
    </row>
    <row r="38" spans="1:26" ht="24" customHeight="1" x14ac:dyDescent="0.35">
      <c r="A38" s="151"/>
      <c r="B38" s="26"/>
      <c r="C38" s="52" t="s">
        <v>27</v>
      </c>
      <c r="D38" s="49"/>
      <c r="E38" s="49"/>
      <c r="F38" s="49"/>
      <c r="G38" s="49"/>
      <c r="H38" s="49"/>
      <c r="I38" s="49"/>
      <c r="J38" s="49"/>
      <c r="K38" s="49"/>
      <c r="L38" s="160"/>
      <c r="M38" s="161"/>
      <c r="N38" s="162"/>
      <c r="O38" s="162"/>
      <c r="P38" s="162"/>
      <c r="Q38" s="163"/>
    </row>
    <row r="39" spans="1:26" ht="24" customHeight="1" x14ac:dyDescent="0.35">
      <c r="A39" s="151"/>
      <c r="B39" s="26"/>
      <c r="C39" s="144" t="s">
        <v>75</v>
      </c>
      <c r="D39" s="144"/>
      <c r="E39" s="144"/>
      <c r="F39" s="144"/>
      <c r="G39" s="144"/>
      <c r="H39" s="144"/>
      <c r="I39" s="144"/>
      <c r="J39" s="144"/>
      <c r="K39" s="49"/>
      <c r="L39" s="164" t="s">
        <v>16</v>
      </c>
      <c r="M39" s="165"/>
      <c r="N39" s="166"/>
      <c r="O39" s="166"/>
      <c r="P39" s="166"/>
      <c r="Q39" s="167"/>
    </row>
    <row r="40" spans="1:26" ht="24" customHeight="1" x14ac:dyDescent="0.35">
      <c r="A40" s="151"/>
      <c r="B40" s="26"/>
      <c r="C40" s="144"/>
      <c r="D40" s="144"/>
      <c r="E40" s="144"/>
      <c r="F40" s="144"/>
      <c r="G40" s="144"/>
      <c r="H40" s="144"/>
      <c r="I40" s="144"/>
      <c r="J40" s="144"/>
      <c r="K40" s="49"/>
      <c r="L40" s="164" t="s">
        <v>3</v>
      </c>
      <c r="M40" s="165"/>
      <c r="N40" s="166"/>
      <c r="O40" s="166"/>
      <c r="P40" s="166"/>
      <c r="Q40" s="167"/>
    </row>
    <row r="41" spans="1:26" ht="24" customHeight="1" x14ac:dyDescent="0.35">
      <c r="A41" s="151"/>
      <c r="B41" s="26"/>
      <c r="C41" s="144"/>
      <c r="D41" s="144"/>
      <c r="E41" s="144"/>
      <c r="F41" s="144"/>
      <c r="G41" s="144"/>
      <c r="H41" s="144"/>
      <c r="I41" s="144"/>
      <c r="J41" s="144"/>
      <c r="K41" s="49"/>
      <c r="L41" s="145" t="str">
        <f>'RIPARIAN BUFFER IMPACTS SUMMARY'!L41:Q41</f>
        <v>12/3/2019</v>
      </c>
      <c r="M41" s="171"/>
      <c r="N41" s="172"/>
      <c r="O41" s="172"/>
      <c r="P41" s="172"/>
      <c r="Q41" s="173"/>
    </row>
    <row r="42" spans="1:26" ht="24" customHeight="1" x14ac:dyDescent="0.35">
      <c r="A42" s="151"/>
      <c r="B42" s="26"/>
      <c r="C42" s="144"/>
      <c r="D42" s="144"/>
      <c r="E42" s="144"/>
      <c r="F42" s="144"/>
      <c r="G42" s="144"/>
      <c r="H42" s="144"/>
      <c r="I42" s="144"/>
      <c r="J42" s="144"/>
      <c r="K42" s="49"/>
      <c r="L42" s="145" t="s">
        <v>51</v>
      </c>
      <c r="M42" s="146"/>
      <c r="N42" s="146"/>
      <c r="O42" s="146"/>
      <c r="P42" s="146"/>
      <c r="Q42" s="152"/>
    </row>
    <row r="43" spans="1:26" ht="24" customHeight="1" x14ac:dyDescent="0.35">
      <c r="A43" s="151"/>
      <c r="B43" s="26"/>
      <c r="C43" s="144"/>
      <c r="D43" s="144"/>
      <c r="E43" s="144"/>
      <c r="F43" s="144"/>
      <c r="G43" s="144"/>
      <c r="H43" s="144"/>
      <c r="I43" s="144"/>
      <c r="J43" s="144"/>
      <c r="K43" s="49"/>
      <c r="L43" s="145" t="s">
        <v>52</v>
      </c>
      <c r="M43" s="146"/>
      <c r="N43" s="146"/>
      <c r="O43" s="146"/>
      <c r="P43" s="146"/>
      <c r="Q43" s="152"/>
    </row>
    <row r="44" spans="1:26" ht="24" customHeight="1" x14ac:dyDescent="0.35">
      <c r="A44" s="151"/>
      <c r="B44" s="26"/>
      <c r="C44" s="144"/>
      <c r="D44" s="144"/>
      <c r="E44" s="144"/>
      <c r="F44" s="144"/>
      <c r="G44" s="144"/>
      <c r="H44" s="144"/>
      <c r="I44" s="144"/>
      <c r="J44" s="144"/>
      <c r="K44" s="49"/>
      <c r="L44" s="145" t="s">
        <v>53</v>
      </c>
      <c r="M44" s="146"/>
      <c r="N44" s="146"/>
      <c r="O44" s="146"/>
      <c r="P44" s="146"/>
      <c r="Q44" s="152"/>
    </row>
    <row r="45" spans="1:26" ht="24" customHeight="1" thickBot="1" x14ac:dyDescent="0.4">
      <c r="A45" s="151"/>
      <c r="B45" s="53" t="s">
        <v>19</v>
      </c>
      <c r="C45" s="54"/>
      <c r="D45" s="55"/>
      <c r="E45" s="55"/>
      <c r="F45" s="54"/>
      <c r="G45" s="54"/>
      <c r="H45" s="54"/>
      <c r="I45" s="54"/>
      <c r="J45" s="54"/>
      <c r="K45" s="56"/>
      <c r="L45" s="57" t="s">
        <v>32</v>
      </c>
      <c r="M45" s="57" t="s">
        <v>33</v>
      </c>
      <c r="N45" s="106">
        <v>20</v>
      </c>
      <c r="O45" s="58" t="s">
        <v>17</v>
      </c>
      <c r="P45" s="106">
        <v>22</v>
      </c>
      <c r="Q45" s="59"/>
    </row>
    <row r="50" spans="3:11" ht="34.5" x14ac:dyDescent="0.45">
      <c r="E50" s="60"/>
    </row>
    <row r="53" spans="3:11" ht="30" x14ac:dyDescent="0.4">
      <c r="C53" s="61"/>
      <c r="K53" s="62"/>
    </row>
    <row r="54" spans="3:11" x14ac:dyDescent="0.35">
      <c r="C54" s="21"/>
    </row>
    <row r="74" spans="7:15" ht="61.5" x14ac:dyDescent="0.85">
      <c r="G74" s="153"/>
      <c r="H74" s="153"/>
      <c r="I74" s="153"/>
      <c r="J74" s="153"/>
      <c r="K74" s="153"/>
      <c r="L74" s="153"/>
      <c r="M74" s="153"/>
      <c r="N74" s="153"/>
      <c r="O74" s="63"/>
    </row>
    <row r="75" spans="7:15" ht="33" x14ac:dyDescent="0.45">
      <c r="G75" s="64"/>
      <c r="H75" s="64"/>
      <c r="I75" s="64"/>
      <c r="J75" s="64"/>
      <c r="K75" s="64"/>
      <c r="L75" s="64"/>
      <c r="M75" s="64"/>
      <c r="N75" s="64"/>
      <c r="O75" s="64"/>
    </row>
    <row r="76" spans="7:15" ht="27.75" x14ac:dyDescent="0.4">
      <c r="G76" s="143"/>
      <c r="H76" s="143"/>
      <c r="I76" s="143"/>
      <c r="J76" s="143"/>
      <c r="K76" s="143"/>
      <c r="L76" s="143"/>
      <c r="M76" s="143"/>
      <c r="N76" s="143"/>
      <c r="O76" s="62"/>
    </row>
    <row r="77" spans="7:15" ht="27.75" x14ac:dyDescent="0.4">
      <c r="G77" s="143"/>
      <c r="H77" s="143"/>
      <c r="I77" s="143"/>
      <c r="J77" s="143"/>
      <c r="K77" s="143"/>
      <c r="L77" s="143"/>
      <c r="M77" s="143"/>
      <c r="N77" s="143"/>
      <c r="O77" s="62"/>
    </row>
    <row r="78" spans="7:15" ht="27.75" x14ac:dyDescent="0.4">
      <c r="G78" s="143"/>
      <c r="H78" s="143"/>
      <c r="I78" s="143"/>
      <c r="J78" s="143"/>
      <c r="K78" s="143"/>
      <c r="L78" s="143"/>
      <c r="M78" s="143"/>
      <c r="N78" s="143"/>
      <c r="O78" s="62"/>
    </row>
    <row r="79" spans="7:15" ht="27.75" x14ac:dyDescent="0.4">
      <c r="G79" s="143"/>
      <c r="H79" s="143"/>
      <c r="I79" s="143"/>
      <c r="J79" s="143"/>
      <c r="K79" s="143"/>
      <c r="L79" s="143"/>
      <c r="M79" s="143"/>
      <c r="N79" s="143"/>
      <c r="O79" s="62"/>
    </row>
    <row r="80" spans="7:15" ht="27.75" x14ac:dyDescent="0.4">
      <c r="G80" s="143"/>
      <c r="H80" s="143"/>
      <c r="I80" s="143"/>
      <c r="J80" s="143"/>
      <c r="K80" s="143"/>
      <c r="L80" s="143"/>
      <c r="M80" s="143"/>
      <c r="N80" s="143"/>
      <c r="O80" s="62"/>
    </row>
    <row r="81" spans="7:15" ht="27.75" x14ac:dyDescent="0.4">
      <c r="G81" s="143"/>
      <c r="H81" s="143"/>
      <c r="I81" s="143"/>
      <c r="J81" s="143"/>
      <c r="K81" s="143"/>
      <c r="L81" s="143"/>
      <c r="M81" s="143"/>
      <c r="N81" s="143"/>
      <c r="O81" s="62"/>
    </row>
    <row r="82" spans="7:15" x14ac:dyDescent="0.35">
      <c r="G82" s="65"/>
      <c r="H82" s="66"/>
      <c r="I82" s="66"/>
      <c r="J82" s="65"/>
      <c r="K82" s="65"/>
      <c r="L82" s="65"/>
      <c r="M82" s="65"/>
      <c r="N82" s="65"/>
      <c r="O82" s="65"/>
    </row>
    <row r="83" spans="7:15" x14ac:dyDescent="0.35">
      <c r="G83" s="67"/>
      <c r="H83" s="68"/>
      <c r="I83" s="68"/>
      <c r="J83" s="65"/>
      <c r="K83" s="65"/>
      <c r="L83" s="142"/>
      <c r="M83" s="142"/>
      <c r="N83" s="142"/>
      <c r="O83" s="69"/>
    </row>
  </sheetData>
  <sheetProtection formatCells="0" formatColumns="0" formatRows="0" insertColumns="0" insertRows="0" insertHyperlinks="0" deleteColumns="0" deleteRows="0" selectLockedCells="1" sort="0" autoFilter="0" pivotTables="0"/>
  <mergeCells count="42">
    <mergeCell ref="G81:N81"/>
    <mergeCell ref="L83:N83"/>
    <mergeCell ref="G74:N74"/>
    <mergeCell ref="G76:N76"/>
    <mergeCell ref="G77:N77"/>
    <mergeCell ref="G78:N78"/>
    <mergeCell ref="G79:N79"/>
    <mergeCell ref="G80:N80"/>
    <mergeCell ref="A44:A45"/>
    <mergeCell ref="C44:J44"/>
    <mergeCell ref="L44:Q44"/>
    <mergeCell ref="A38:A41"/>
    <mergeCell ref="L38:Q38"/>
    <mergeCell ref="C39:J39"/>
    <mergeCell ref="L39:Q39"/>
    <mergeCell ref="C40:J40"/>
    <mergeCell ref="L40:Q40"/>
    <mergeCell ref="C41:J41"/>
    <mergeCell ref="L41:Q41"/>
    <mergeCell ref="A42:A43"/>
    <mergeCell ref="C42:J42"/>
    <mergeCell ref="L42:Q42"/>
    <mergeCell ref="C43:J43"/>
    <mergeCell ref="L43:Q43"/>
    <mergeCell ref="C35:H35"/>
    <mergeCell ref="F8:F10"/>
    <mergeCell ref="G8:G10"/>
    <mergeCell ref="H8:H10"/>
    <mergeCell ref="I8:I10"/>
    <mergeCell ref="J8:J10"/>
    <mergeCell ref="K8:K10"/>
    <mergeCell ref="C4:P4"/>
    <mergeCell ref="F5:N5"/>
    <mergeCell ref="O5:P7"/>
    <mergeCell ref="F6:H7"/>
    <mergeCell ref="I6:K7"/>
    <mergeCell ref="L6:N7"/>
    <mergeCell ref="L8:L10"/>
    <mergeCell ref="M8:M10"/>
    <mergeCell ref="N8:N10"/>
    <mergeCell ref="O8:O10"/>
    <mergeCell ref="P8:P10"/>
  </mergeCells>
  <printOptions horizontalCentered="1" verticalCentered="1"/>
  <pageMargins left="0.25" right="0.25" top="0.75" bottom="0.75" header="0.3" footer="0.3"/>
  <pageSetup scale="48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22">
    <pageSetUpPr fitToPage="1"/>
  </sheetPr>
  <dimension ref="A1:P41"/>
  <sheetViews>
    <sheetView showGridLines="0" view="pageBreakPreview" zoomScale="60" zoomScaleNormal="75" workbookViewId="0">
      <selection activeCell="K34" sqref="K34:P34"/>
    </sheetView>
  </sheetViews>
  <sheetFormatPr defaultRowHeight="12.75" x14ac:dyDescent="0.2"/>
  <cols>
    <col min="1" max="1" width="2.5703125" customWidth="1"/>
    <col min="2" max="2" width="11.7109375" customWidth="1"/>
    <col min="3" max="3" width="41.140625" customWidth="1"/>
    <col min="4" max="4" width="22.42578125" bestFit="1" customWidth="1"/>
    <col min="5" max="6" width="12.140625" customWidth="1"/>
    <col min="7" max="7" width="10.42578125" bestFit="1" customWidth="1"/>
    <col min="8" max="8" width="8.28515625" bestFit="1" customWidth="1"/>
    <col min="9" max="9" width="8.7109375" bestFit="1" customWidth="1"/>
    <col min="10" max="10" width="7.85546875" customWidth="1"/>
    <col min="11" max="11" width="9" bestFit="1" customWidth="1"/>
    <col min="12" max="12" width="9.5703125" customWidth="1"/>
    <col min="13" max="13" width="11.140625" customWidth="1"/>
    <col min="14" max="15" width="11.5703125" customWidth="1"/>
    <col min="16" max="16" width="1.7109375" customWidth="1"/>
    <col min="17" max="17" width="1.85546875" customWidth="1"/>
  </cols>
  <sheetData>
    <row r="1" spans="1:16" ht="12" customHeight="1" thickTop="1" thickBot="1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pans="1:16" ht="37.5" customHeight="1" thickTop="1" thickBot="1" x14ac:dyDescent="0.25">
      <c r="A2" s="6"/>
      <c r="B2" s="174" t="s">
        <v>13</v>
      </c>
      <c r="C2" s="175"/>
      <c r="D2" s="175"/>
      <c r="E2" s="175"/>
      <c r="F2" s="175"/>
      <c r="G2" s="175"/>
      <c r="H2" s="175"/>
      <c r="I2" s="175"/>
      <c r="J2" s="175"/>
      <c r="K2" s="175"/>
      <c r="L2" s="175"/>
      <c r="M2" s="175"/>
      <c r="N2" s="175"/>
      <c r="O2" s="175"/>
      <c r="P2" s="176"/>
    </row>
    <row r="3" spans="1:16" ht="23.25" customHeight="1" thickTop="1" thickBot="1" x14ac:dyDescent="0.3">
      <c r="A3" s="6"/>
      <c r="B3" s="203"/>
      <c r="C3" s="204"/>
      <c r="D3" s="205"/>
      <c r="E3" s="191" t="s">
        <v>14</v>
      </c>
      <c r="F3" s="192"/>
      <c r="G3" s="11"/>
      <c r="H3" s="11"/>
      <c r="I3" s="11"/>
      <c r="J3" s="11"/>
      <c r="K3" s="11"/>
      <c r="L3" s="11"/>
      <c r="M3" s="11"/>
      <c r="N3" s="190"/>
      <c r="O3" s="190"/>
      <c r="P3" s="7"/>
    </row>
    <row r="4" spans="1:16" ht="22.5" customHeight="1" thickTop="1" thickBot="1" x14ac:dyDescent="0.3">
      <c r="A4" s="6"/>
      <c r="B4" s="195" t="s">
        <v>0</v>
      </c>
      <c r="C4" s="197" t="s">
        <v>1</v>
      </c>
      <c r="D4" s="197" t="s">
        <v>76</v>
      </c>
      <c r="E4" s="193"/>
      <c r="F4" s="194"/>
      <c r="G4" s="11"/>
      <c r="H4" s="202"/>
      <c r="I4" s="202"/>
      <c r="J4" s="202"/>
      <c r="K4" s="202"/>
      <c r="L4" s="202"/>
      <c r="M4" s="202"/>
      <c r="N4" s="190"/>
      <c r="O4" s="190"/>
      <c r="P4" s="7"/>
    </row>
    <row r="5" spans="1:16" ht="34.5" customHeight="1" thickBot="1" x14ac:dyDescent="0.25">
      <c r="A5" s="6"/>
      <c r="B5" s="196"/>
      <c r="C5" s="198"/>
      <c r="D5" s="198"/>
      <c r="E5" s="2" t="s">
        <v>9</v>
      </c>
      <c r="F5" s="1" t="s">
        <v>10</v>
      </c>
      <c r="G5" s="12"/>
      <c r="H5" s="12"/>
      <c r="I5" s="12"/>
      <c r="J5" s="12"/>
      <c r="K5" s="12"/>
      <c r="L5" s="12"/>
      <c r="M5" s="12"/>
      <c r="N5" s="12"/>
      <c r="O5" s="12"/>
      <c r="P5" s="7"/>
    </row>
    <row r="6" spans="1:16" ht="20.100000000000001" customHeight="1" x14ac:dyDescent="0.25">
      <c r="A6" s="6"/>
      <c r="B6" s="88">
        <v>1</v>
      </c>
      <c r="C6" s="138" t="str">
        <f>INDEX('RIPARIAN BUFFER IMPACTS SUMMARY'!$D$11:$D$34,MATCH(B6,'RIPARIAN BUFFER IMPACTS SUMMARY'!$C$11:$C$34,0))</f>
        <v>52+27 to 52+90-LREV-RT</v>
      </c>
      <c r="D6" s="123" t="s">
        <v>47</v>
      </c>
      <c r="E6" s="124">
        <v>8993</v>
      </c>
      <c r="F6" s="125">
        <f>1800+160</f>
        <v>1960</v>
      </c>
      <c r="G6" s="126"/>
      <c r="H6" s="13"/>
      <c r="I6" s="13"/>
      <c r="J6" s="13"/>
      <c r="K6" s="13"/>
      <c r="L6" s="13"/>
      <c r="M6" s="13"/>
      <c r="N6" s="13"/>
      <c r="O6" s="13"/>
      <c r="P6" s="7"/>
    </row>
    <row r="7" spans="1:16" ht="20.100000000000001" customHeight="1" x14ac:dyDescent="0.25">
      <c r="A7" s="6"/>
      <c r="B7" s="88">
        <v>2</v>
      </c>
      <c r="C7" s="138" t="str">
        <f>INDEX('RIPARIAN BUFFER IMPACTS SUMMARY'!$D$11:$D$34,MATCH(B7,'RIPARIAN BUFFER IMPACTS SUMMARY'!$C$11:$C$34,0))</f>
        <v>52+98 to 58+31 -LREV-LT</v>
      </c>
      <c r="D7" s="123" t="s">
        <v>35</v>
      </c>
      <c r="E7" s="124">
        <v>22034</v>
      </c>
      <c r="F7" s="125">
        <v>8886</v>
      </c>
      <c r="G7" s="126"/>
      <c r="H7" s="13"/>
      <c r="I7" s="13"/>
      <c r="J7" s="13"/>
      <c r="K7" s="13"/>
      <c r="L7" s="13"/>
      <c r="M7" s="13"/>
      <c r="N7" s="13"/>
      <c r="O7" s="13"/>
      <c r="P7" s="7"/>
    </row>
    <row r="8" spans="1:16" ht="20.100000000000001" customHeight="1" x14ac:dyDescent="0.25">
      <c r="A8" s="6"/>
      <c r="B8" s="88">
        <v>4</v>
      </c>
      <c r="C8" s="138" t="str">
        <f>INDEX('RIPARIAN BUFFER IMPACTS SUMMARY'!$D$11:$D$34,MATCH(B8,'RIPARIAN BUFFER IMPACTS SUMMARY'!$C$11:$C$34,0))</f>
        <v>65+01 to 84+43-LREV-</v>
      </c>
      <c r="D8" s="123" t="s">
        <v>35</v>
      </c>
      <c r="E8" s="124">
        <f>237+3772+287</f>
        <v>4296</v>
      </c>
      <c r="F8" s="125">
        <f>1499+963+5909</f>
        <v>8371</v>
      </c>
      <c r="G8" s="122"/>
      <c r="H8" s="13"/>
      <c r="I8" s="13"/>
      <c r="J8" s="13"/>
      <c r="K8" s="13"/>
      <c r="L8" s="13"/>
      <c r="M8" s="13"/>
      <c r="N8" s="13"/>
      <c r="O8" s="13"/>
      <c r="P8" s="7"/>
    </row>
    <row r="9" spans="1:16" ht="20.100000000000001" customHeight="1" x14ac:dyDescent="0.25">
      <c r="A9" s="6"/>
      <c r="B9" s="88">
        <v>6</v>
      </c>
      <c r="C9" s="138" t="str">
        <f>INDEX('RIPARIAN BUFFER IMPACTS SUMMARY'!$D$11:$D$34,MATCH(B9,'RIPARIAN BUFFER IMPACTS SUMMARY'!$C$11:$C$34,0))</f>
        <v>81+45 to 87+64-LREV-</v>
      </c>
      <c r="D9" s="123" t="s">
        <v>12</v>
      </c>
      <c r="E9" s="124">
        <v>306</v>
      </c>
      <c r="F9" s="125">
        <f>4520+611</f>
        <v>5131</v>
      </c>
      <c r="G9" s="122"/>
      <c r="H9" s="13"/>
      <c r="I9" s="13"/>
      <c r="J9" s="13"/>
      <c r="K9" s="13"/>
      <c r="L9" s="13"/>
      <c r="M9" s="13"/>
      <c r="N9" s="13"/>
      <c r="O9" s="13"/>
      <c r="P9" s="7"/>
    </row>
    <row r="10" spans="1:16" ht="20.100000000000001" customHeight="1" x14ac:dyDescent="0.25">
      <c r="A10" s="6"/>
      <c r="B10" s="88"/>
      <c r="C10" s="138" t="s">
        <v>81</v>
      </c>
      <c r="D10" s="123" t="s">
        <v>35</v>
      </c>
      <c r="E10" s="124">
        <v>0</v>
      </c>
      <c r="F10" s="125">
        <v>717</v>
      </c>
      <c r="G10" s="122"/>
      <c r="H10" s="13"/>
      <c r="I10" s="13"/>
      <c r="J10" s="13"/>
      <c r="K10" s="13"/>
      <c r="L10" s="13"/>
      <c r="M10" s="13"/>
      <c r="N10" s="13"/>
      <c r="O10" s="13"/>
      <c r="P10" s="7"/>
    </row>
    <row r="11" spans="1:16" ht="20.100000000000001" customHeight="1" x14ac:dyDescent="0.25">
      <c r="A11" s="6"/>
      <c r="B11" s="88">
        <v>7</v>
      </c>
      <c r="C11" s="138" t="str">
        <f>INDEX('RIPARIAN BUFFER IMPACTS SUMMARY'!$D$11:$D$34,MATCH(B11,'RIPARIAN BUFFER IMPACTS SUMMARY'!$C$11:$C$34,0))</f>
        <v>84+38 to 85+96 -LREV-LT</v>
      </c>
      <c r="D11" s="123" t="s">
        <v>12</v>
      </c>
      <c r="E11" s="124">
        <v>2</v>
      </c>
      <c r="F11" s="125">
        <v>225</v>
      </c>
      <c r="G11" s="122"/>
      <c r="H11" s="13"/>
      <c r="I11" s="13"/>
      <c r="J11" s="13"/>
      <c r="K11" s="13"/>
      <c r="L11" s="13"/>
      <c r="M11" s="13"/>
      <c r="N11" s="13"/>
      <c r="O11" s="13"/>
      <c r="P11" s="7"/>
    </row>
    <row r="12" spans="1:16" ht="20.100000000000001" customHeight="1" x14ac:dyDescent="0.25">
      <c r="A12" s="6"/>
      <c r="B12" s="88"/>
      <c r="C12" s="138" t="s">
        <v>82</v>
      </c>
      <c r="D12" s="123" t="s">
        <v>35</v>
      </c>
      <c r="E12" s="124">
        <f>1561+49</f>
        <v>1610</v>
      </c>
      <c r="F12" s="125">
        <v>3472</v>
      </c>
      <c r="G12" s="122"/>
      <c r="H12" s="13"/>
      <c r="I12" s="13"/>
      <c r="J12" s="13"/>
      <c r="K12" s="13"/>
      <c r="L12" s="13"/>
      <c r="M12" s="13"/>
      <c r="N12" s="13"/>
      <c r="O12" s="13"/>
      <c r="P12" s="7"/>
    </row>
    <row r="13" spans="1:16" ht="20.100000000000001" customHeight="1" x14ac:dyDescent="0.25">
      <c r="A13" s="6"/>
      <c r="B13" s="88">
        <v>8</v>
      </c>
      <c r="C13" s="139" t="s">
        <v>72</v>
      </c>
      <c r="D13" s="123"/>
      <c r="E13" s="124"/>
      <c r="F13" s="125"/>
      <c r="G13" s="122"/>
      <c r="H13" s="13"/>
      <c r="I13" s="13"/>
      <c r="J13" s="13"/>
      <c r="K13" s="13"/>
      <c r="L13" s="13"/>
      <c r="M13" s="13"/>
      <c r="N13" s="13"/>
      <c r="O13" s="13"/>
      <c r="P13" s="7"/>
    </row>
    <row r="14" spans="1:16" ht="20.100000000000001" customHeight="1" x14ac:dyDescent="0.25">
      <c r="A14" s="6"/>
      <c r="B14" s="88">
        <v>9</v>
      </c>
      <c r="C14" s="138" t="str">
        <f>INDEX('RIPARIAN BUFFER IMPACTS SUMMARY'!$D$11:$D$34,MATCH(B14,'RIPARIAN BUFFER IMPACTS SUMMARY'!$C$11:$C$34,0))</f>
        <v>124+47 to 126+48 -L-</v>
      </c>
      <c r="D14" s="123" t="s">
        <v>37</v>
      </c>
      <c r="E14" s="124">
        <f>8367.4+3559.4+5953.9</f>
        <v>17880.699999999997</v>
      </c>
      <c r="F14" s="125">
        <f>4198.7+3615.2</f>
        <v>7813.9</v>
      </c>
      <c r="G14" s="122"/>
      <c r="H14" s="13"/>
      <c r="I14" s="13"/>
      <c r="J14" s="13"/>
      <c r="K14" s="13"/>
      <c r="L14" s="13"/>
      <c r="M14" s="13"/>
      <c r="N14" s="13"/>
      <c r="O14" s="13"/>
      <c r="P14" s="7"/>
    </row>
    <row r="15" spans="1:16" ht="20.100000000000001" customHeight="1" x14ac:dyDescent="0.25">
      <c r="A15" s="6"/>
      <c r="B15" s="88">
        <v>10</v>
      </c>
      <c r="C15" s="138" t="str">
        <f>INDEX('RIPARIAN BUFFER IMPACTS SUMMARY'!$D$11:$D$34,MATCH(B15,'RIPARIAN BUFFER IMPACTS SUMMARY'!$C$11:$C$34,0))</f>
        <v>140+32 to 142+97-L-</v>
      </c>
      <c r="D15" s="123" t="s">
        <v>37</v>
      </c>
      <c r="E15" s="124">
        <f>735.7+3196.9</f>
        <v>3932.6000000000004</v>
      </c>
      <c r="F15" s="125">
        <v>2242</v>
      </c>
      <c r="G15" s="122"/>
      <c r="H15" s="13"/>
      <c r="I15" s="13"/>
      <c r="J15" s="13"/>
      <c r="K15" s="13"/>
      <c r="L15" s="13"/>
      <c r="M15" s="13"/>
      <c r="N15" s="13"/>
      <c r="O15" s="13"/>
      <c r="P15" s="7"/>
    </row>
    <row r="16" spans="1:16" ht="20.100000000000001" customHeight="1" x14ac:dyDescent="0.25">
      <c r="A16" s="6"/>
      <c r="B16" s="118">
        <v>11</v>
      </c>
      <c r="C16" s="138" t="str">
        <f>INDEX('RIPARIAN BUFFER IMPACTS SUMMARY'!$D$11:$D$34,MATCH(B16,'RIPARIAN BUFFER IMPACTS SUMMARY'!$C$11:$C$34,0))</f>
        <v>146+80 to 148+37-L-</v>
      </c>
      <c r="D16" s="123" t="s">
        <v>37</v>
      </c>
      <c r="E16" s="124">
        <f>4821+299</f>
        <v>5120</v>
      </c>
      <c r="F16" s="125">
        <f>409.9+2370.7</f>
        <v>2780.6</v>
      </c>
      <c r="G16" s="122"/>
      <c r="H16" s="13"/>
      <c r="I16" s="13"/>
      <c r="J16" s="13"/>
      <c r="K16" s="13"/>
      <c r="L16" s="13"/>
      <c r="M16" s="13"/>
      <c r="N16" s="13"/>
      <c r="O16" s="13"/>
      <c r="P16" s="7"/>
    </row>
    <row r="17" spans="1:16" ht="20.100000000000001" customHeight="1" x14ac:dyDescent="0.25">
      <c r="A17" s="6"/>
      <c r="B17" s="119">
        <v>12</v>
      </c>
      <c r="C17" s="138" t="str">
        <f>INDEX('RIPARIAN BUFFER IMPACTS SUMMARY'!$D$11:$D$34,MATCH(B17,'RIPARIAN BUFFER IMPACTS SUMMARY'!$C$11:$C$34,0))</f>
        <v>147+44 to 149+51-L-RT</v>
      </c>
      <c r="D17" s="123" t="s">
        <v>36</v>
      </c>
      <c r="E17" s="124">
        <f>891+256</f>
        <v>1147</v>
      </c>
      <c r="F17" s="125">
        <f>329+1459</f>
        <v>1788</v>
      </c>
      <c r="G17" s="122"/>
      <c r="H17" s="13"/>
      <c r="I17" s="13"/>
      <c r="J17" s="13"/>
      <c r="K17" s="13"/>
      <c r="L17" s="13"/>
      <c r="M17" s="13"/>
      <c r="N17" s="13"/>
      <c r="O17" s="13"/>
      <c r="P17" s="7"/>
    </row>
    <row r="18" spans="1:16" ht="20.100000000000001" customHeight="1" x14ac:dyDescent="0.25">
      <c r="A18" s="6"/>
      <c r="B18" s="88">
        <v>13</v>
      </c>
      <c r="C18" s="138" t="str">
        <f>INDEX('RIPARIAN BUFFER IMPACTS SUMMARY'!$D$11:$D$34,MATCH(B18,'RIPARIAN BUFFER IMPACTS SUMMARY'!$C$11:$C$34,0))</f>
        <v>168+13 to 169+95-L-</v>
      </c>
      <c r="D18" s="123" t="s">
        <v>40</v>
      </c>
      <c r="E18" s="124">
        <f>206+3277</f>
        <v>3483</v>
      </c>
      <c r="F18" s="125">
        <f>111+3277</f>
        <v>3388</v>
      </c>
      <c r="G18" s="122"/>
      <c r="H18" s="13"/>
      <c r="I18" s="13"/>
      <c r="J18" s="13"/>
      <c r="K18" s="13"/>
      <c r="L18" s="13"/>
      <c r="M18" s="13"/>
      <c r="N18" s="13"/>
      <c r="O18" s="13"/>
      <c r="P18" s="7"/>
    </row>
    <row r="19" spans="1:16" ht="20.100000000000001" customHeight="1" x14ac:dyDescent="0.25">
      <c r="A19" s="6"/>
      <c r="B19" s="88">
        <v>14</v>
      </c>
      <c r="C19" s="138" t="str">
        <f>INDEX('RIPARIAN BUFFER IMPACTS SUMMARY'!$D$11:$D$34,MATCH(B19,'RIPARIAN BUFFER IMPACTS SUMMARY'!$C$11:$C$34,0))</f>
        <v>19+36 to 22+13-Y5RPC-</v>
      </c>
      <c r="D19" s="123" t="s">
        <v>35</v>
      </c>
      <c r="E19" s="124">
        <v>11351</v>
      </c>
      <c r="F19" s="125">
        <v>6545</v>
      </c>
      <c r="G19" s="122"/>
      <c r="H19" s="13"/>
      <c r="I19" s="13"/>
      <c r="J19" s="13"/>
      <c r="K19" s="13"/>
      <c r="L19" s="13"/>
      <c r="M19" s="13"/>
      <c r="N19" s="13"/>
      <c r="O19" s="13"/>
      <c r="P19" s="7"/>
    </row>
    <row r="20" spans="1:16" ht="20.100000000000001" customHeight="1" x14ac:dyDescent="0.25">
      <c r="A20" s="6"/>
      <c r="B20" s="88">
        <v>15</v>
      </c>
      <c r="C20" s="138" t="str">
        <f>INDEX('RIPARIAN BUFFER IMPACTS SUMMARY'!$D$11:$D$34,MATCH(B20,'RIPARIAN BUFFER IMPACTS SUMMARY'!$C$11:$C$34,0))</f>
        <v>192+63 to 197+32-L-</v>
      </c>
      <c r="D20" s="123" t="s">
        <v>35</v>
      </c>
      <c r="E20" s="124">
        <v>6717</v>
      </c>
      <c r="F20" s="125">
        <v>1278</v>
      </c>
      <c r="G20" s="122"/>
      <c r="H20" s="13"/>
      <c r="I20" s="13"/>
      <c r="J20" s="13"/>
      <c r="K20" s="13"/>
      <c r="L20" s="13"/>
      <c r="M20" s="13"/>
      <c r="N20" s="13"/>
      <c r="O20" s="13"/>
      <c r="P20" s="7"/>
    </row>
    <row r="21" spans="1:16" ht="20.100000000000001" customHeight="1" x14ac:dyDescent="0.25">
      <c r="A21" s="6"/>
      <c r="B21" s="88">
        <v>16</v>
      </c>
      <c r="C21" s="138" t="str">
        <f>INDEX('RIPARIAN BUFFER IMPACTS SUMMARY'!$D$11:$D$34,MATCH(B21,'RIPARIAN BUFFER IMPACTS SUMMARY'!$C$11:$C$34,0))</f>
        <v>46+92 to 49+14 -Y5-LT</v>
      </c>
      <c r="D21" s="123" t="s">
        <v>35</v>
      </c>
      <c r="E21" s="124">
        <v>12045</v>
      </c>
      <c r="F21" s="125">
        <f>3335+662</f>
        <v>3997</v>
      </c>
      <c r="G21" s="122"/>
      <c r="H21" s="13"/>
      <c r="I21" s="13"/>
      <c r="J21" s="13"/>
      <c r="K21" s="13"/>
      <c r="L21" s="13"/>
      <c r="M21" s="13"/>
      <c r="N21" s="13"/>
      <c r="O21" s="13"/>
      <c r="P21" s="7"/>
    </row>
    <row r="22" spans="1:16" ht="20.100000000000001" customHeight="1" x14ac:dyDescent="0.25">
      <c r="A22" s="6"/>
      <c r="B22" s="118" t="s">
        <v>84</v>
      </c>
      <c r="C22" s="138" t="str">
        <f>INDEX('RIPARIAN BUFFER IMPACTS SUMMARY'!$D$11:$D$34,MATCH(B22,'RIPARIAN BUFFER IMPACTS SUMMARY'!$C$11:$C$34,0))</f>
        <v>24+27 to 24+54 -Y5RPB-</v>
      </c>
      <c r="D22" s="123" t="s">
        <v>86</v>
      </c>
      <c r="E22" s="124">
        <v>3513</v>
      </c>
      <c r="F22" s="125">
        <v>3181</v>
      </c>
      <c r="G22" s="122"/>
      <c r="H22" s="13"/>
      <c r="I22" s="13"/>
      <c r="J22" s="13"/>
      <c r="K22" s="13"/>
      <c r="L22" s="13"/>
      <c r="M22" s="13"/>
      <c r="N22" s="13"/>
      <c r="O22" s="13"/>
      <c r="P22" s="7"/>
    </row>
    <row r="23" spans="1:16" ht="20.100000000000001" customHeight="1" x14ac:dyDescent="0.25">
      <c r="A23" s="6"/>
      <c r="B23" s="118">
        <v>17</v>
      </c>
      <c r="C23" s="138" t="str">
        <f>INDEX('RIPARIAN BUFFER IMPACTS SUMMARY'!$D$11:$D$34,MATCH(B23,'RIPARIAN BUFFER IMPACTS SUMMARY'!$C$11:$C$34,0))</f>
        <v>15+80-Y5A- to 48+68-Y5-(SAB)</v>
      </c>
      <c r="D23" s="123" t="s">
        <v>35</v>
      </c>
      <c r="E23" s="124">
        <f>1124+1694+588</f>
        <v>3406</v>
      </c>
      <c r="F23" s="125">
        <f>1528+524</f>
        <v>2052</v>
      </c>
      <c r="G23" s="122"/>
      <c r="H23" s="13"/>
      <c r="I23" s="13"/>
      <c r="J23" s="13"/>
      <c r="K23" s="13"/>
      <c r="L23" s="13"/>
      <c r="M23" s="13"/>
      <c r="N23" s="13"/>
      <c r="O23" s="13"/>
      <c r="P23" s="7"/>
    </row>
    <row r="24" spans="1:16" ht="20.100000000000001" customHeight="1" x14ac:dyDescent="0.25">
      <c r="A24" s="6"/>
      <c r="B24" s="88">
        <v>18</v>
      </c>
      <c r="C24" s="138" t="str">
        <f>INDEX('RIPARIAN BUFFER IMPACTS SUMMARY'!$D$11:$D$34,MATCH(B24,'RIPARIAN BUFFER IMPACTS SUMMARY'!$C$11:$C$34,0))</f>
        <v>201+74 to 206+80-L-</v>
      </c>
      <c r="D24" s="123" t="s">
        <v>43</v>
      </c>
      <c r="E24" s="124">
        <v>3969</v>
      </c>
      <c r="F24" s="125">
        <v>6105</v>
      </c>
      <c r="G24" s="122"/>
      <c r="H24" s="13"/>
      <c r="I24" s="13"/>
      <c r="J24" s="13"/>
      <c r="K24" s="13"/>
      <c r="L24" s="13"/>
      <c r="M24" s="13"/>
      <c r="N24" s="13"/>
      <c r="O24" s="13"/>
      <c r="P24" s="7"/>
    </row>
    <row r="25" spans="1:16" ht="20.100000000000001" customHeight="1" thickBot="1" x14ac:dyDescent="0.3">
      <c r="A25" s="6"/>
      <c r="B25" s="88">
        <v>19</v>
      </c>
      <c r="C25" s="138" t="str">
        <f>INDEX('RIPARIAN BUFFER IMPACTS SUMMARY'!$D$11:$D$34,MATCH(B25,'RIPARIAN BUFFER IMPACTS SUMMARY'!$C$11:$C$34,0))</f>
        <v>209+01 to 211.28 -L-</v>
      </c>
      <c r="D25" s="123" t="s">
        <v>45</v>
      </c>
      <c r="E25" s="124">
        <v>8507</v>
      </c>
      <c r="F25" s="125">
        <v>741</v>
      </c>
      <c r="G25" s="122"/>
      <c r="H25" s="13"/>
      <c r="I25" s="13"/>
      <c r="J25" s="13"/>
      <c r="K25" s="13"/>
      <c r="L25" s="13"/>
      <c r="M25" s="13"/>
      <c r="N25" s="13"/>
      <c r="O25" s="13"/>
      <c r="P25" s="7"/>
    </row>
    <row r="26" spans="1:16" ht="20.100000000000001" customHeight="1" thickBot="1" x14ac:dyDescent="0.35">
      <c r="A26" s="6"/>
      <c r="B26" s="199" t="s">
        <v>2</v>
      </c>
      <c r="C26" s="200"/>
      <c r="D26" s="201"/>
      <c r="E26" s="111">
        <f>SUM(E6:E24)</f>
        <v>109805.29999999999</v>
      </c>
      <c r="F26" s="111">
        <f>SUM(F6:F24)</f>
        <v>69932.5</v>
      </c>
      <c r="H26" s="14"/>
      <c r="I26" s="14"/>
      <c r="J26" s="14"/>
      <c r="K26" s="14"/>
      <c r="L26" s="14"/>
      <c r="M26" s="14"/>
      <c r="N26" s="14"/>
      <c r="O26" s="14"/>
      <c r="P26" s="7"/>
    </row>
    <row r="27" spans="1:16" x14ac:dyDescent="0.2">
      <c r="A27" s="6"/>
      <c r="P27" s="7"/>
    </row>
    <row r="28" spans="1:16" x14ac:dyDescent="0.2">
      <c r="A28" s="6"/>
      <c r="P28" s="7"/>
    </row>
    <row r="29" spans="1:16" ht="13.5" thickBot="1" x14ac:dyDescent="0.25">
      <c r="A29" s="6"/>
      <c r="K29" s="9"/>
      <c r="L29" s="188"/>
      <c r="M29" s="188"/>
      <c r="N29" s="188"/>
      <c r="O29" s="188"/>
      <c r="P29" s="189"/>
    </row>
    <row r="30" spans="1:16" ht="13.5" thickTop="1" x14ac:dyDescent="0.2">
      <c r="A30" s="6"/>
      <c r="K30" s="180"/>
      <c r="L30" s="181"/>
      <c r="M30" s="181"/>
      <c r="N30" s="181"/>
      <c r="O30" s="181"/>
      <c r="P30" s="182"/>
    </row>
    <row r="31" spans="1:16" ht="15" x14ac:dyDescent="0.25">
      <c r="A31" s="6"/>
      <c r="K31" s="183" t="s">
        <v>16</v>
      </c>
      <c r="L31" s="184"/>
      <c r="M31" s="184"/>
      <c r="N31" s="184"/>
      <c r="O31" s="184"/>
      <c r="P31" s="185"/>
    </row>
    <row r="32" spans="1:16" ht="15" x14ac:dyDescent="0.25">
      <c r="A32" s="6"/>
      <c r="K32" s="183" t="s">
        <v>3</v>
      </c>
      <c r="L32" s="184"/>
      <c r="M32" s="184"/>
      <c r="N32" s="184"/>
      <c r="O32" s="184"/>
      <c r="P32" s="185"/>
    </row>
    <row r="33" spans="1:16" ht="15" x14ac:dyDescent="0.25">
      <c r="A33" s="6"/>
      <c r="K33" s="177" t="str">
        <f>'RIPARIAN BUFFER IMPACTS SUMMARY'!L41</f>
        <v>12/3/2019</v>
      </c>
      <c r="L33" s="186"/>
      <c r="M33" s="186"/>
      <c r="N33" s="186"/>
      <c r="O33" s="186"/>
      <c r="P33" s="187"/>
    </row>
    <row r="34" spans="1:16" ht="15" x14ac:dyDescent="0.25">
      <c r="A34" s="6"/>
      <c r="K34" s="177" t="s">
        <v>51</v>
      </c>
      <c r="L34" s="178"/>
      <c r="M34" s="178"/>
      <c r="N34" s="178"/>
      <c r="O34" s="178"/>
      <c r="P34" s="179"/>
    </row>
    <row r="35" spans="1:16" ht="15" x14ac:dyDescent="0.25">
      <c r="A35" s="6"/>
      <c r="K35" s="177" t="s">
        <v>52</v>
      </c>
      <c r="L35" s="178"/>
      <c r="M35" s="178"/>
      <c r="N35" s="178"/>
      <c r="O35" s="178"/>
      <c r="P35" s="179"/>
    </row>
    <row r="36" spans="1:16" ht="15" x14ac:dyDescent="0.25">
      <c r="A36" s="6"/>
      <c r="K36" s="177" t="s">
        <v>53</v>
      </c>
      <c r="L36" s="178"/>
      <c r="M36" s="178"/>
      <c r="N36" s="178"/>
      <c r="O36" s="178"/>
      <c r="P36" s="179"/>
    </row>
    <row r="37" spans="1:16" ht="15.75" thickBot="1" x14ac:dyDescent="0.3">
      <c r="A37" s="18" t="s">
        <v>19</v>
      </c>
      <c r="B37" s="9"/>
      <c r="C37" s="9"/>
      <c r="D37" s="9"/>
      <c r="E37" s="9"/>
      <c r="F37" s="9"/>
      <c r="G37" s="9"/>
      <c r="H37" s="9"/>
      <c r="I37" s="9"/>
      <c r="J37" s="9"/>
      <c r="K37" s="8"/>
      <c r="L37" s="15" t="s">
        <v>18</v>
      </c>
      <c r="M37" s="15">
        <v>21</v>
      </c>
      <c r="N37" s="16" t="s">
        <v>17</v>
      </c>
      <c r="O37" s="15">
        <v>22</v>
      </c>
      <c r="P37" s="17"/>
    </row>
    <row r="38" spans="1:16" ht="9.75" customHeight="1" thickTop="1" x14ac:dyDescent="0.2"/>
    <row r="41" spans="1:16" x14ac:dyDescent="0.2">
      <c r="L41" s="114"/>
    </row>
  </sheetData>
  <mergeCells count="18">
    <mergeCell ref="K4:M4"/>
    <mergeCell ref="B3:D3"/>
    <mergeCell ref="B2:P2"/>
    <mergeCell ref="K36:P36"/>
    <mergeCell ref="K30:P30"/>
    <mergeCell ref="K31:P31"/>
    <mergeCell ref="K32:P32"/>
    <mergeCell ref="K33:P33"/>
    <mergeCell ref="K34:P34"/>
    <mergeCell ref="K35:P35"/>
    <mergeCell ref="L29:P29"/>
    <mergeCell ref="N3:O4"/>
    <mergeCell ref="E3:F4"/>
    <mergeCell ref="B4:B5"/>
    <mergeCell ref="C4:C5"/>
    <mergeCell ref="B26:D26"/>
    <mergeCell ref="D4:D5"/>
    <mergeCell ref="H4:J4"/>
  </mergeCells>
  <phoneticPr fontId="0" type="noConversion"/>
  <printOptions horizontalCentered="1" verticalCentered="1"/>
  <pageMargins left="0.25" right="0.25" top="0.75" bottom="0.75" header="0.3" footer="0.3"/>
  <pageSetup scale="70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3">
    <pageSetUpPr fitToPage="1"/>
  </sheetPr>
  <dimension ref="A1:P41"/>
  <sheetViews>
    <sheetView showGridLines="0" view="pageBreakPreview" zoomScale="60" zoomScaleNormal="75" workbookViewId="0">
      <selection activeCell="K34" sqref="K34:P34"/>
    </sheetView>
  </sheetViews>
  <sheetFormatPr defaultRowHeight="12.75" x14ac:dyDescent="0.2"/>
  <cols>
    <col min="1" max="1" width="2.5703125" customWidth="1"/>
    <col min="2" max="2" width="11.7109375" customWidth="1"/>
    <col min="3" max="3" width="36" bestFit="1" customWidth="1"/>
    <col min="4" max="4" width="22.42578125" bestFit="1" customWidth="1"/>
    <col min="5" max="5" width="12" customWidth="1"/>
    <col min="6" max="6" width="12.28515625" customWidth="1"/>
    <col min="7" max="7" width="10.42578125" bestFit="1" customWidth="1"/>
    <col min="8" max="8" width="8.28515625" bestFit="1" customWidth="1"/>
    <col min="9" max="9" width="8.7109375" bestFit="1" customWidth="1"/>
    <col min="10" max="10" width="7.85546875" customWidth="1"/>
    <col min="11" max="11" width="9" bestFit="1" customWidth="1"/>
    <col min="12" max="12" width="9.5703125" customWidth="1"/>
    <col min="13" max="13" width="11.140625" customWidth="1"/>
    <col min="14" max="15" width="11.5703125" customWidth="1"/>
    <col min="16" max="16" width="1.7109375" customWidth="1"/>
    <col min="17" max="17" width="1.85546875" customWidth="1"/>
  </cols>
  <sheetData>
    <row r="1" spans="1:16" ht="12" customHeight="1" thickTop="1" thickBot="1" x14ac:dyDescent="0.25">
      <c r="A1" s="3"/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5"/>
    </row>
    <row r="2" spans="1:16" ht="37.5" customHeight="1" thickTop="1" thickBot="1" x14ac:dyDescent="0.25">
      <c r="A2" s="6"/>
      <c r="B2" s="206" t="s">
        <v>13</v>
      </c>
      <c r="C2" s="207"/>
      <c r="D2" s="207"/>
      <c r="E2" s="207"/>
      <c r="F2" s="207"/>
      <c r="G2" s="175"/>
      <c r="H2" s="175"/>
      <c r="I2" s="175"/>
      <c r="J2" s="175"/>
      <c r="K2" s="175"/>
      <c r="L2" s="175"/>
      <c r="M2" s="175"/>
      <c r="N2" s="175"/>
      <c r="O2" s="175"/>
      <c r="P2" s="176"/>
    </row>
    <row r="3" spans="1:16" ht="23.25" customHeight="1" thickTop="1" thickBot="1" x14ac:dyDescent="0.3">
      <c r="A3" s="6"/>
      <c r="B3" s="208"/>
      <c r="C3" s="209"/>
      <c r="D3" s="210"/>
      <c r="E3" s="211" t="s">
        <v>14</v>
      </c>
      <c r="F3" s="212"/>
      <c r="G3" s="11"/>
      <c r="H3" s="11"/>
      <c r="I3" s="11"/>
      <c r="J3" s="11"/>
      <c r="K3" s="11"/>
      <c r="L3" s="11"/>
      <c r="M3" s="11"/>
      <c r="N3" s="190"/>
      <c r="O3" s="190"/>
      <c r="P3" s="7"/>
    </row>
    <row r="4" spans="1:16" ht="22.5" customHeight="1" thickTop="1" thickBot="1" x14ac:dyDescent="0.3">
      <c r="A4" s="6"/>
      <c r="B4" s="213" t="s">
        <v>0</v>
      </c>
      <c r="C4" s="197" t="s">
        <v>1</v>
      </c>
      <c r="D4" s="197" t="s">
        <v>76</v>
      </c>
      <c r="E4" s="193"/>
      <c r="F4" s="194"/>
      <c r="G4" s="11"/>
      <c r="H4" s="202"/>
      <c r="I4" s="202"/>
      <c r="J4" s="202"/>
      <c r="K4" s="202"/>
      <c r="L4" s="202"/>
      <c r="M4" s="202"/>
      <c r="N4" s="190"/>
      <c r="O4" s="190"/>
      <c r="P4" s="7"/>
    </row>
    <row r="5" spans="1:16" ht="34.5" customHeight="1" thickBot="1" x14ac:dyDescent="0.25">
      <c r="A5" s="6"/>
      <c r="B5" s="198"/>
      <c r="C5" s="198"/>
      <c r="D5" s="198"/>
      <c r="E5" s="2" t="s">
        <v>9</v>
      </c>
      <c r="F5" s="1" t="s">
        <v>10</v>
      </c>
      <c r="G5" s="12"/>
      <c r="H5" s="12"/>
      <c r="I5" s="12"/>
      <c r="J5" s="12"/>
      <c r="K5" s="12"/>
      <c r="L5" s="12"/>
      <c r="M5" s="12"/>
      <c r="N5" s="12"/>
      <c r="O5" s="12"/>
      <c r="P5" s="7"/>
    </row>
    <row r="6" spans="1:16" ht="20.100000000000001" customHeight="1" x14ac:dyDescent="0.25">
      <c r="A6" s="6"/>
      <c r="B6" s="120">
        <v>20</v>
      </c>
      <c r="C6" s="138" t="s">
        <v>46</v>
      </c>
      <c r="D6" s="123" t="s">
        <v>35</v>
      </c>
      <c r="E6" s="137">
        <f>3442+3091+3124+1072</f>
        <v>10729</v>
      </c>
      <c r="F6" s="127">
        <v>109</v>
      </c>
      <c r="G6" s="10"/>
      <c r="H6" s="13"/>
      <c r="I6" s="13"/>
      <c r="J6" s="13"/>
      <c r="K6" s="13"/>
      <c r="L6" s="13"/>
      <c r="M6" s="13"/>
      <c r="N6" s="13"/>
      <c r="O6" s="13"/>
      <c r="P6" s="7"/>
    </row>
    <row r="7" spans="1:16" ht="20.100000000000001" customHeight="1" x14ac:dyDescent="0.25">
      <c r="A7" s="6"/>
      <c r="B7" s="112">
        <v>21</v>
      </c>
      <c r="C7" s="117" t="s">
        <v>61</v>
      </c>
      <c r="D7" s="87" t="s">
        <v>35</v>
      </c>
      <c r="E7" s="124">
        <v>576</v>
      </c>
      <c r="F7" s="91">
        <v>367</v>
      </c>
      <c r="G7" s="10"/>
      <c r="H7" s="13"/>
      <c r="I7" s="13"/>
      <c r="J7" s="13"/>
      <c r="K7" s="13"/>
      <c r="L7" s="13"/>
      <c r="M7" s="13"/>
      <c r="N7" s="13"/>
      <c r="O7" s="13"/>
      <c r="P7" s="7"/>
    </row>
    <row r="8" spans="1:16" ht="20.100000000000001" customHeight="1" x14ac:dyDescent="0.25">
      <c r="A8" s="6"/>
      <c r="B8" s="112">
        <v>22</v>
      </c>
      <c r="C8" s="117" t="s">
        <v>46</v>
      </c>
      <c r="D8" s="87" t="s">
        <v>48</v>
      </c>
      <c r="E8" s="124">
        <v>97</v>
      </c>
      <c r="F8" s="91">
        <v>1025</v>
      </c>
      <c r="H8" s="13"/>
      <c r="I8" s="13"/>
      <c r="J8" s="13"/>
      <c r="K8" s="13"/>
      <c r="L8" s="13"/>
      <c r="M8" s="13"/>
      <c r="N8" s="13"/>
      <c r="O8" s="13"/>
      <c r="P8" s="7"/>
    </row>
    <row r="9" spans="1:16" ht="20.100000000000001" customHeight="1" x14ac:dyDescent="0.25">
      <c r="A9" s="6"/>
      <c r="B9" s="112">
        <v>23</v>
      </c>
      <c r="C9" s="117" t="s">
        <v>62</v>
      </c>
      <c r="D9" s="87" t="s">
        <v>40</v>
      </c>
      <c r="E9" s="124">
        <v>472</v>
      </c>
      <c r="F9" s="91">
        <v>594</v>
      </c>
      <c r="H9" s="13"/>
      <c r="I9" s="13"/>
      <c r="J9" s="13"/>
      <c r="K9" s="13"/>
      <c r="L9" s="13"/>
      <c r="M9" s="13"/>
      <c r="N9" s="13"/>
      <c r="O9" s="13"/>
      <c r="P9" s="7"/>
    </row>
    <row r="10" spans="1:16" ht="20.100000000000001" customHeight="1" x14ac:dyDescent="0.25">
      <c r="A10" s="6"/>
      <c r="B10" s="112"/>
      <c r="C10" s="89"/>
      <c r="D10" s="89"/>
      <c r="E10" s="90"/>
      <c r="F10" s="91"/>
      <c r="H10" s="13"/>
      <c r="I10" s="13"/>
      <c r="J10" s="13"/>
      <c r="K10" s="13"/>
      <c r="L10" s="13"/>
      <c r="M10" s="13"/>
      <c r="N10" s="13"/>
      <c r="O10" s="13"/>
      <c r="P10" s="7"/>
    </row>
    <row r="11" spans="1:16" ht="20.100000000000001" customHeight="1" x14ac:dyDescent="0.25">
      <c r="A11" s="6"/>
      <c r="B11" s="112"/>
      <c r="C11" s="89"/>
      <c r="D11" s="89"/>
      <c r="E11" s="90"/>
      <c r="F11" s="91"/>
      <c r="H11" s="13"/>
      <c r="I11" s="13"/>
      <c r="J11" s="13"/>
      <c r="K11" s="13"/>
      <c r="L11" s="13"/>
      <c r="M11" s="13"/>
      <c r="N11" s="13"/>
      <c r="O11" s="13"/>
      <c r="P11" s="7"/>
    </row>
    <row r="12" spans="1:16" ht="20.100000000000001" customHeight="1" x14ac:dyDescent="0.25">
      <c r="A12" s="6"/>
      <c r="B12" s="112"/>
      <c r="C12" s="89"/>
      <c r="D12" s="89"/>
      <c r="E12" s="90"/>
      <c r="F12" s="91"/>
      <c r="H12" s="13"/>
      <c r="I12" s="13"/>
      <c r="J12" s="13"/>
      <c r="K12" s="13"/>
      <c r="L12" s="13"/>
      <c r="M12" s="13"/>
      <c r="N12" s="13"/>
      <c r="O12" s="13"/>
      <c r="P12" s="7"/>
    </row>
    <row r="13" spans="1:16" ht="20.100000000000001" customHeight="1" x14ac:dyDescent="0.25">
      <c r="A13" s="6"/>
      <c r="B13" s="112"/>
      <c r="C13" s="89"/>
      <c r="D13" s="89"/>
      <c r="E13" s="90"/>
      <c r="F13" s="91"/>
      <c r="H13" s="13"/>
      <c r="I13" s="13"/>
      <c r="J13" s="13"/>
      <c r="K13" s="13"/>
      <c r="L13" s="13"/>
      <c r="M13" s="13"/>
      <c r="N13" s="13"/>
      <c r="O13" s="13"/>
      <c r="P13" s="7"/>
    </row>
    <row r="14" spans="1:16" ht="20.100000000000001" customHeight="1" x14ac:dyDescent="0.25">
      <c r="A14" s="6"/>
      <c r="B14" s="112"/>
      <c r="C14" s="89"/>
      <c r="D14" s="89"/>
      <c r="E14" s="90"/>
      <c r="F14" s="91"/>
      <c r="H14" s="13"/>
      <c r="I14" s="13"/>
      <c r="J14" s="13"/>
      <c r="K14" s="13"/>
      <c r="L14" s="13"/>
      <c r="M14" s="13"/>
      <c r="N14" s="13"/>
      <c r="O14" s="13"/>
      <c r="P14" s="7"/>
    </row>
    <row r="15" spans="1:16" ht="20.100000000000001" customHeight="1" x14ac:dyDescent="0.25">
      <c r="A15" s="6"/>
      <c r="B15" s="112"/>
      <c r="C15" s="89"/>
      <c r="D15" s="89"/>
      <c r="E15" s="90"/>
      <c r="F15" s="91"/>
      <c r="H15" s="13"/>
      <c r="I15" s="13"/>
      <c r="J15" s="13"/>
      <c r="K15" s="13"/>
      <c r="L15" s="13"/>
      <c r="M15" s="13"/>
      <c r="N15" s="13"/>
      <c r="O15" s="13"/>
      <c r="P15" s="7"/>
    </row>
    <row r="16" spans="1:16" ht="20.100000000000001" customHeight="1" x14ac:dyDescent="0.25">
      <c r="A16" s="6"/>
      <c r="B16" s="112"/>
      <c r="C16" s="89"/>
      <c r="D16" s="89"/>
      <c r="E16" s="90"/>
      <c r="F16" s="91"/>
      <c r="H16" s="13"/>
      <c r="I16" s="13"/>
      <c r="J16" s="13"/>
      <c r="K16" s="13"/>
      <c r="L16" s="13"/>
      <c r="M16" s="13"/>
      <c r="N16" s="13"/>
      <c r="O16" s="13"/>
      <c r="P16" s="7"/>
    </row>
    <row r="17" spans="1:16" ht="20.100000000000001" customHeight="1" x14ac:dyDescent="0.25">
      <c r="A17" s="6"/>
      <c r="B17" s="112"/>
      <c r="C17" s="89"/>
      <c r="D17" s="89"/>
      <c r="E17" s="90"/>
      <c r="F17" s="91"/>
      <c r="H17" s="13"/>
      <c r="I17" s="13"/>
      <c r="J17" s="13"/>
      <c r="K17" s="13"/>
      <c r="L17" s="13"/>
      <c r="M17" s="13"/>
      <c r="N17" s="13"/>
      <c r="O17" s="13"/>
      <c r="P17" s="7"/>
    </row>
    <row r="18" spans="1:16" ht="20.100000000000001" customHeight="1" x14ac:dyDescent="0.25">
      <c r="A18" s="6"/>
      <c r="B18" s="112"/>
      <c r="C18" s="89"/>
      <c r="D18" s="89"/>
      <c r="E18" s="90"/>
      <c r="F18" s="91"/>
      <c r="H18" s="13"/>
      <c r="I18" s="13"/>
      <c r="J18" s="13"/>
      <c r="K18" s="13"/>
      <c r="L18" s="13"/>
      <c r="M18" s="13"/>
      <c r="N18" s="13"/>
      <c r="O18" s="13"/>
      <c r="P18" s="7"/>
    </row>
    <row r="19" spans="1:16" ht="20.100000000000001" customHeight="1" x14ac:dyDescent="0.25">
      <c r="A19" s="6"/>
      <c r="B19" s="112"/>
      <c r="C19" s="89"/>
      <c r="D19" s="89"/>
      <c r="E19" s="90"/>
      <c r="F19" s="91"/>
      <c r="H19" s="13"/>
      <c r="I19" s="13"/>
      <c r="J19" s="13"/>
      <c r="K19" s="13"/>
      <c r="L19" s="13"/>
      <c r="M19" s="13"/>
      <c r="N19" s="13"/>
      <c r="O19" s="13"/>
      <c r="P19" s="7"/>
    </row>
    <row r="20" spans="1:16" ht="20.100000000000001" customHeight="1" x14ac:dyDescent="0.25">
      <c r="A20" s="6"/>
      <c r="B20" s="112"/>
      <c r="C20" s="89"/>
      <c r="D20" s="89"/>
      <c r="E20" s="90"/>
      <c r="F20" s="91"/>
      <c r="H20" s="13"/>
      <c r="I20" s="13"/>
      <c r="J20" s="13"/>
      <c r="K20" s="13"/>
      <c r="L20" s="13"/>
      <c r="M20" s="13"/>
      <c r="N20" s="13"/>
      <c r="O20" s="13"/>
      <c r="P20" s="7"/>
    </row>
    <row r="21" spans="1:16" ht="20.100000000000001" customHeight="1" x14ac:dyDescent="0.25">
      <c r="A21" s="6"/>
      <c r="B21" s="112"/>
      <c r="C21" s="89"/>
      <c r="D21" s="89"/>
      <c r="E21" s="90"/>
      <c r="F21" s="91"/>
      <c r="H21" s="13"/>
      <c r="I21" s="13"/>
      <c r="J21" s="13"/>
      <c r="K21" s="13"/>
      <c r="L21" s="13"/>
      <c r="M21" s="13"/>
      <c r="N21" s="13"/>
      <c r="O21" s="13"/>
      <c r="P21" s="7"/>
    </row>
    <row r="22" spans="1:16" ht="20.100000000000001" customHeight="1" x14ac:dyDescent="0.25">
      <c r="A22" s="6"/>
      <c r="B22" s="112"/>
      <c r="C22" s="100" t="s">
        <v>55</v>
      </c>
      <c r="D22" s="89"/>
      <c r="E22" s="109">
        <f>SUM(E2:E21)</f>
        <v>11874</v>
      </c>
      <c r="F22" s="110">
        <f>SUM(F6:F21)</f>
        <v>2095</v>
      </c>
      <c r="H22" s="13"/>
      <c r="I22" s="13"/>
      <c r="J22" s="13"/>
      <c r="K22" s="13"/>
      <c r="L22" s="13"/>
      <c r="M22" s="13"/>
      <c r="N22" s="13"/>
      <c r="O22" s="13"/>
      <c r="P22" s="7"/>
    </row>
    <row r="23" spans="1:16" ht="20.100000000000001" customHeight="1" x14ac:dyDescent="0.25">
      <c r="A23" s="6"/>
      <c r="B23" s="112"/>
      <c r="C23" s="89"/>
      <c r="D23" s="89"/>
      <c r="E23" s="107"/>
      <c r="F23" s="108"/>
      <c r="H23" s="13"/>
      <c r="I23" s="13"/>
      <c r="J23" s="13"/>
      <c r="K23" s="13"/>
      <c r="L23" s="13"/>
      <c r="M23" s="13"/>
      <c r="N23" s="13"/>
      <c r="O23" s="13"/>
      <c r="P23" s="7"/>
    </row>
    <row r="24" spans="1:16" ht="20.100000000000001" customHeight="1" x14ac:dyDescent="0.25">
      <c r="A24" s="6"/>
      <c r="B24" s="112"/>
      <c r="C24" s="100" t="s">
        <v>65</v>
      </c>
      <c r="D24" s="89"/>
      <c r="E24" s="109">
        <f>'Wetlands In Buffers'!E26</f>
        <v>109805.29999999999</v>
      </c>
      <c r="F24" s="110">
        <f>'Wetlands In Buffers'!F26</f>
        <v>69932.5</v>
      </c>
      <c r="H24" s="13"/>
      <c r="I24" s="13"/>
      <c r="J24" s="13"/>
      <c r="K24" s="13"/>
      <c r="L24" s="13"/>
      <c r="M24" s="13"/>
      <c r="N24" s="13"/>
      <c r="O24" s="13"/>
      <c r="P24" s="7"/>
    </row>
    <row r="25" spans="1:16" ht="20.100000000000001" customHeight="1" thickBot="1" x14ac:dyDescent="0.3">
      <c r="A25" s="6"/>
      <c r="B25" s="113"/>
      <c r="C25" s="92"/>
      <c r="D25" s="92"/>
      <c r="E25" s="93"/>
      <c r="F25" s="94"/>
      <c r="H25" s="13"/>
      <c r="I25" s="13"/>
      <c r="J25" s="13"/>
      <c r="K25" s="13"/>
      <c r="L25" s="13"/>
      <c r="M25" s="13"/>
      <c r="N25" s="13"/>
      <c r="O25" s="13"/>
      <c r="P25" s="7"/>
    </row>
    <row r="26" spans="1:16" ht="20.100000000000001" customHeight="1" thickBot="1" x14ac:dyDescent="0.3">
      <c r="A26" s="6"/>
      <c r="B26" s="214" t="s">
        <v>2</v>
      </c>
      <c r="C26" s="200"/>
      <c r="D26" s="201"/>
      <c r="E26" s="116">
        <f>SUM(E22:E25)</f>
        <v>121679.29999999999</v>
      </c>
      <c r="F26" s="116">
        <f>SUM(F22:F25)</f>
        <v>72027.5</v>
      </c>
      <c r="H26" s="14"/>
      <c r="I26" s="14"/>
      <c r="J26" s="14"/>
      <c r="K26" s="14"/>
      <c r="L26" s="14"/>
      <c r="M26" s="14"/>
      <c r="N26" s="14"/>
      <c r="O26" s="14"/>
      <c r="P26" s="7"/>
    </row>
    <row r="27" spans="1:16" x14ac:dyDescent="0.2">
      <c r="A27" s="6"/>
      <c r="P27" s="7"/>
    </row>
    <row r="28" spans="1:16" x14ac:dyDescent="0.2">
      <c r="A28" s="6"/>
      <c r="P28" s="7"/>
    </row>
    <row r="29" spans="1:16" ht="13.5" thickBot="1" x14ac:dyDescent="0.25">
      <c r="A29" s="6"/>
      <c r="B29" s="121" t="s">
        <v>77</v>
      </c>
      <c r="K29" s="9"/>
      <c r="L29" s="188"/>
      <c r="M29" s="188"/>
      <c r="N29" s="188"/>
      <c r="O29" s="188"/>
      <c r="P29" s="189"/>
    </row>
    <row r="30" spans="1:16" ht="13.5" thickTop="1" x14ac:dyDescent="0.2">
      <c r="A30" s="6"/>
      <c r="K30" s="180"/>
      <c r="L30" s="181"/>
      <c r="M30" s="181"/>
      <c r="N30" s="181"/>
      <c r="O30" s="181"/>
      <c r="P30" s="182"/>
    </row>
    <row r="31" spans="1:16" ht="15" x14ac:dyDescent="0.25">
      <c r="A31" s="6"/>
      <c r="G31" s="122"/>
      <c r="K31" s="183" t="s">
        <v>16</v>
      </c>
      <c r="L31" s="184"/>
      <c r="M31" s="184"/>
      <c r="N31" s="184"/>
      <c r="O31" s="184"/>
      <c r="P31" s="185"/>
    </row>
    <row r="32" spans="1:16" ht="15" x14ac:dyDescent="0.25">
      <c r="A32" s="6"/>
      <c r="K32" s="183" t="s">
        <v>3</v>
      </c>
      <c r="L32" s="184"/>
      <c r="M32" s="184"/>
      <c r="N32" s="184"/>
      <c r="O32" s="184"/>
      <c r="P32" s="185"/>
    </row>
    <row r="33" spans="1:16" ht="15" x14ac:dyDescent="0.25">
      <c r="A33" s="6"/>
      <c r="K33" s="177" t="str">
        <f>'RIPARIAN BUFFER IMPACTS SUMMARY'!L41</f>
        <v>12/3/2019</v>
      </c>
      <c r="L33" s="186"/>
      <c r="M33" s="186"/>
      <c r="N33" s="186"/>
      <c r="O33" s="186"/>
      <c r="P33" s="187"/>
    </row>
    <row r="34" spans="1:16" ht="15" x14ac:dyDescent="0.25">
      <c r="A34" s="6"/>
      <c r="K34" s="177" t="s">
        <v>51</v>
      </c>
      <c r="L34" s="178"/>
      <c r="M34" s="178"/>
      <c r="N34" s="178"/>
      <c r="O34" s="178"/>
      <c r="P34" s="179"/>
    </row>
    <row r="35" spans="1:16" ht="15" x14ac:dyDescent="0.25">
      <c r="A35" s="6"/>
      <c r="K35" s="177" t="s">
        <v>52</v>
      </c>
      <c r="L35" s="178"/>
      <c r="M35" s="178"/>
      <c r="N35" s="178"/>
      <c r="O35" s="178"/>
      <c r="P35" s="179"/>
    </row>
    <row r="36" spans="1:16" ht="15" x14ac:dyDescent="0.25">
      <c r="A36" s="6"/>
      <c r="K36" s="177" t="s">
        <v>53</v>
      </c>
      <c r="L36" s="178"/>
      <c r="M36" s="178"/>
      <c r="N36" s="178"/>
      <c r="O36" s="178"/>
      <c r="P36" s="179"/>
    </row>
    <row r="37" spans="1:16" ht="15.75" thickBot="1" x14ac:dyDescent="0.3">
      <c r="A37" s="18" t="s">
        <v>19</v>
      </c>
      <c r="B37" s="9"/>
      <c r="C37" s="9"/>
      <c r="D37" s="9"/>
      <c r="E37" s="9"/>
      <c r="F37" s="9"/>
      <c r="G37" s="9"/>
      <c r="H37" s="9"/>
      <c r="I37" s="9"/>
      <c r="J37" s="9"/>
      <c r="K37" s="8"/>
      <c r="L37" s="15" t="s">
        <v>18</v>
      </c>
      <c r="M37" s="15">
        <v>22</v>
      </c>
      <c r="N37" s="16" t="s">
        <v>17</v>
      </c>
      <c r="O37" s="15">
        <v>22</v>
      </c>
      <c r="P37" s="17"/>
    </row>
    <row r="38" spans="1:16" ht="9.75" customHeight="1" thickTop="1" x14ac:dyDescent="0.2"/>
    <row r="41" spans="1:16" x14ac:dyDescent="0.2">
      <c r="L41" s="114"/>
    </row>
  </sheetData>
  <mergeCells count="18">
    <mergeCell ref="K34:P34"/>
    <mergeCell ref="K35:P35"/>
    <mergeCell ref="K36:P36"/>
    <mergeCell ref="B26:D26"/>
    <mergeCell ref="L29:P29"/>
    <mergeCell ref="K30:P30"/>
    <mergeCell ref="K31:P31"/>
    <mergeCell ref="K32:P32"/>
    <mergeCell ref="K33:P33"/>
    <mergeCell ref="B2:P2"/>
    <mergeCell ref="B3:D3"/>
    <mergeCell ref="E3:F4"/>
    <mergeCell ref="N3:O4"/>
    <mergeCell ref="B4:B5"/>
    <mergeCell ref="C4:C5"/>
    <mergeCell ref="D4:D5"/>
    <mergeCell ref="H4:J4"/>
    <mergeCell ref="K4:M4"/>
  </mergeCells>
  <printOptions horizontalCentered="1" verticalCentered="1"/>
  <pageMargins left="0.25" right="0.25" top="0.75" bottom="0.75" header="0.3" footer="0.3"/>
  <pageSetup scale="72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RIPARIAN BUFFER IMPACTS SUMMARY</vt:lpstr>
      <vt:lpstr>RIPARIAN BUFFER IMPACTS SUM (2)</vt:lpstr>
      <vt:lpstr>Wetlands In Buffers</vt:lpstr>
      <vt:lpstr>Wetlands In Buffers (2)</vt:lpstr>
      <vt:lpstr>'RIPARIAN BUFFER IMPACTS SUM (2)'!Print_Area</vt:lpstr>
      <vt:lpstr>'RIPARIAN BUFFER IMPACTS SUMMARY'!Print_Area</vt:lpstr>
      <vt:lpstr>'Wetlands In Buffers'!Print_Area</vt:lpstr>
      <vt:lpstr>'Wetlands In Buffers (2)'!Print_Area</vt:lpstr>
    </vt:vector>
  </TitlesOfParts>
  <Company>NC DOT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jerrys</dc:creator>
  <cp:lastModifiedBy>Smithheart, Jeremy</cp:lastModifiedBy>
  <cp:lastPrinted>2019-11-06T21:07:43Z</cp:lastPrinted>
  <dcterms:created xsi:type="dcterms:W3CDTF">2001-01-22T12:22:11Z</dcterms:created>
  <dcterms:modified xsi:type="dcterms:W3CDTF">2019-12-04T14:52:18Z</dcterms:modified>
</cp:coreProperties>
</file>